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280" windowHeight="6612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'Sheet1'!$A$51:$F$114</definedName>
  </definedNames>
  <calcPr fullCalcOnLoad="1"/>
</workbook>
</file>

<file path=xl/sharedStrings.xml><?xml version="1.0" encoding="utf-8"?>
<sst xmlns="http://schemas.openxmlformats.org/spreadsheetml/2006/main" count="389" uniqueCount="250">
  <si>
    <t>Part</t>
  </si>
  <si>
    <t>Value</t>
  </si>
  <si>
    <t>Package</t>
  </si>
  <si>
    <t>Purpose</t>
  </si>
  <si>
    <t>Digikey Part</t>
  </si>
  <si>
    <t>Cost</t>
  </si>
  <si>
    <t>C1</t>
  </si>
  <si>
    <t>1uF</t>
  </si>
  <si>
    <t>C1206</t>
  </si>
  <si>
    <t>BP sensor low pass filter</t>
  </si>
  <si>
    <t>311-1181-1-ND</t>
  </si>
  <si>
    <t>C2</t>
  </si>
  <si>
    <t>BP sensor decoupling</t>
  </si>
  <si>
    <t>C3</t>
  </si>
  <si>
    <t>0.01uF</t>
  </si>
  <si>
    <t>Unreg power supply</t>
  </si>
  <si>
    <t>311-1174-1-ND</t>
  </si>
  <si>
    <t>C4</t>
  </si>
  <si>
    <t>0.1uF</t>
  </si>
  <si>
    <t>counter decoupling</t>
  </si>
  <si>
    <t>311-1179-1-ND</t>
  </si>
  <si>
    <t>C5</t>
  </si>
  <si>
    <t>555 decoupling</t>
  </si>
  <si>
    <t>C6</t>
  </si>
  <si>
    <t>water depth frequency selection</t>
  </si>
  <si>
    <t>C7</t>
  </si>
  <si>
    <t>current source decoupling</t>
  </si>
  <si>
    <t>C8</t>
  </si>
  <si>
    <t>parasite power capacitor</t>
  </si>
  <si>
    <t>C9</t>
  </si>
  <si>
    <t>BP decoupling</t>
  </si>
  <si>
    <t>C10</t>
  </si>
  <si>
    <t>C11</t>
  </si>
  <si>
    <t>100uF</t>
  </si>
  <si>
    <t>CAP-D</t>
  </si>
  <si>
    <t>PCE3182CT-ND</t>
  </si>
  <si>
    <t>D1</t>
  </si>
  <si>
    <t>BAT54SCT</t>
  </si>
  <si>
    <t>SOT23</t>
  </si>
  <si>
    <t>water depth protection</t>
  </si>
  <si>
    <t>BAT54SCT-ND</t>
  </si>
  <si>
    <t>D2</t>
  </si>
  <si>
    <t>SMBJ10A</t>
  </si>
  <si>
    <t>SMTB</t>
  </si>
  <si>
    <t>1-wire surge suppression</t>
  </si>
  <si>
    <t>SMBJ10ACCCT-ND</t>
  </si>
  <si>
    <t>D3</t>
  </si>
  <si>
    <t>D4</t>
  </si>
  <si>
    <t>lightning counter surge suppression</t>
  </si>
  <si>
    <t>D5</t>
  </si>
  <si>
    <t>1-wire data clamping</t>
  </si>
  <si>
    <t>D6</t>
  </si>
  <si>
    <t>LED3MM</t>
  </si>
  <si>
    <t>power-on led</t>
  </si>
  <si>
    <t>160-1081-ND</t>
  </si>
  <si>
    <t>D7</t>
  </si>
  <si>
    <t>DO41-10</t>
  </si>
  <si>
    <t>relay back-emf prevention</t>
  </si>
  <si>
    <t>1N4004GICT-ND</t>
  </si>
  <si>
    <t>D8</t>
  </si>
  <si>
    <t>DS2409 indicator</t>
  </si>
  <si>
    <t>IC1</t>
  </si>
  <si>
    <t>LM2931Z-5.0</t>
  </si>
  <si>
    <t>78LXX</t>
  </si>
  <si>
    <t>LM2931Z-5.0-ND</t>
  </si>
  <si>
    <t>IC2</t>
  </si>
  <si>
    <t>DS2438Z</t>
  </si>
  <si>
    <t>SO08</t>
  </si>
  <si>
    <t>current source monitor</t>
  </si>
  <si>
    <t>IC3</t>
  </si>
  <si>
    <t>DS2423P</t>
  </si>
  <si>
    <t>SOP06</t>
  </si>
  <si>
    <t>counter</t>
  </si>
  <si>
    <t>IC4</t>
  </si>
  <si>
    <t>water depth oscillator</t>
  </si>
  <si>
    <t>IC5</t>
  </si>
  <si>
    <t>OCP-PCTB116/E</t>
  </si>
  <si>
    <t>DIL06</t>
  </si>
  <si>
    <t>lightning counter isolater</t>
  </si>
  <si>
    <t>67-1563-5-ND</t>
  </si>
  <si>
    <t>IC6</t>
  </si>
  <si>
    <t>DS2890P</t>
  </si>
  <si>
    <t>BP midpoint adjust</t>
  </si>
  <si>
    <t>IC7</t>
  </si>
  <si>
    <t>current source setting</t>
  </si>
  <si>
    <t>IC8</t>
  </si>
  <si>
    <t>MPX4115A</t>
  </si>
  <si>
    <t>SIX-IL</t>
  </si>
  <si>
    <t>BP sensor</t>
  </si>
  <si>
    <t>IC9</t>
  </si>
  <si>
    <t>TLV2450ID</t>
  </si>
  <si>
    <t>current source</t>
  </si>
  <si>
    <t>296-1886-5-ND</t>
  </si>
  <si>
    <t>IC10</t>
  </si>
  <si>
    <t>BP monitor</t>
  </si>
  <si>
    <t>IC11</t>
  </si>
  <si>
    <t>DS2409P</t>
  </si>
  <si>
    <t>1-wire isolator &amp; relay driver</t>
  </si>
  <si>
    <t>J1</t>
  </si>
  <si>
    <t>520252-4</t>
  </si>
  <si>
    <t>RJ-45 for 1-wire</t>
  </si>
  <si>
    <t>A9046-ND</t>
  </si>
  <si>
    <t>J2</t>
  </si>
  <si>
    <t>CP2519X</t>
  </si>
  <si>
    <t>PWR-JACK</t>
  </si>
  <si>
    <t>CP-2519-ND</t>
  </si>
  <si>
    <t>J3</t>
  </si>
  <si>
    <t>ED555/7DS</t>
  </si>
  <si>
    <t>3.5X7</t>
  </si>
  <si>
    <t>screw for 1-wire in &amp; out</t>
  </si>
  <si>
    <t>ED1519-ND</t>
  </si>
  <si>
    <t>J4</t>
  </si>
  <si>
    <t>3.5X9</t>
  </si>
  <si>
    <t>external sensors</t>
  </si>
  <si>
    <t>ED1521-ND</t>
  </si>
  <si>
    <t>J5</t>
  </si>
  <si>
    <t>DS9094F</t>
  </si>
  <si>
    <t>CLIP</t>
  </si>
  <si>
    <t>iButton clip</t>
  </si>
  <si>
    <t>J6</t>
  </si>
  <si>
    <t>ED555/3DS</t>
  </si>
  <si>
    <t>3.5X3</t>
  </si>
  <si>
    <t>power control output</t>
  </si>
  <si>
    <t>ED1515-ND</t>
  </si>
  <si>
    <t>JP1a</t>
  </si>
  <si>
    <t>JP2</t>
  </si>
  <si>
    <t>counter input routing</t>
  </si>
  <si>
    <t>S1021-36-ND</t>
  </si>
  <si>
    <t>JP1b</t>
  </si>
  <si>
    <t>power supply selection</t>
  </si>
  <si>
    <t>JP3</t>
  </si>
  <si>
    <t>JP1</t>
  </si>
  <si>
    <t>DS2409 bypass</t>
  </si>
  <si>
    <t>R1</t>
  </si>
  <si>
    <t>1M</t>
  </si>
  <si>
    <t>R1206</t>
  </si>
  <si>
    <t>current source range setting</t>
  </si>
  <si>
    <t>311-1.0MECT-ND</t>
  </si>
  <si>
    <t>R2</t>
  </si>
  <si>
    <t>311-330ECT-ND</t>
  </si>
  <si>
    <t>R3</t>
  </si>
  <si>
    <t>311-24ECT-ND</t>
  </si>
  <si>
    <t>R4</t>
  </si>
  <si>
    <t>lightning counter led current limiter</t>
  </si>
  <si>
    <t>R5</t>
  </si>
  <si>
    <t>current source sense resistor</t>
  </si>
  <si>
    <t>R6</t>
  </si>
  <si>
    <t>10k</t>
  </si>
  <si>
    <t>lightning counter pullup</t>
  </si>
  <si>
    <t>311-10KECT-ND</t>
  </si>
  <si>
    <t>R7</t>
  </si>
  <si>
    <t>2k2</t>
  </si>
  <si>
    <t>external counter input pullup</t>
  </si>
  <si>
    <t>311-2.2KECT-ND</t>
  </si>
  <si>
    <t>R8</t>
  </si>
  <si>
    <t>330k</t>
  </si>
  <si>
    <t>311-330KECT-ND</t>
  </si>
  <si>
    <t>R9</t>
  </si>
  <si>
    <t>R10</t>
  </si>
  <si>
    <t>100k</t>
  </si>
  <si>
    <t>311-100KECT-ND</t>
  </si>
  <si>
    <t>R11</t>
  </si>
  <si>
    <t>relay driver</t>
  </si>
  <si>
    <t>R12</t>
  </si>
  <si>
    <t>Ds2409 indicator</t>
  </si>
  <si>
    <t>RLY1</t>
  </si>
  <si>
    <t>PE014005DC</t>
  </si>
  <si>
    <t>SPDT-DIL</t>
  </si>
  <si>
    <t>power control relay</t>
  </si>
  <si>
    <t>PB353-ND</t>
  </si>
  <si>
    <t>TR1</t>
  </si>
  <si>
    <t>FMMTA13TA</t>
  </si>
  <si>
    <t>turns current source into voltage source</t>
  </si>
  <si>
    <t>FMMTA13CT-ND</t>
  </si>
  <si>
    <t>TR2</t>
  </si>
  <si>
    <t>BCX17CT</t>
  </si>
  <si>
    <t>BCX17CT-ND</t>
  </si>
  <si>
    <t>VR1</t>
  </si>
  <si>
    <t>RJ9W</t>
  </si>
  <si>
    <t>CT94W104-ND</t>
  </si>
  <si>
    <t>Case</t>
  </si>
  <si>
    <t>HM110-ND</t>
  </si>
  <si>
    <t>S9001-ND</t>
  </si>
  <si>
    <t>0.1uF Ceramic</t>
  </si>
  <si>
    <t>Water depth sensor -- is 30 capacitors in series (for 6 inches)</t>
  </si>
  <si>
    <t>BC1101CT-ND</t>
  </si>
  <si>
    <t>Power Supply</t>
  </si>
  <si>
    <t>Parasite</t>
  </si>
  <si>
    <t>Regulated from hub</t>
  </si>
  <si>
    <t>Unregulated from hub</t>
  </si>
  <si>
    <t>Unregulated from jack</t>
  </si>
  <si>
    <t>Pressure Sensor</t>
  </si>
  <si>
    <t>Digital Pot</t>
  </si>
  <si>
    <t>Manual Pot</t>
  </si>
  <si>
    <t>Water Depth Sensor</t>
  </si>
  <si>
    <t>Enabled</t>
  </si>
  <si>
    <t>Lightning / isolated counter</t>
  </si>
  <si>
    <t>Regular counter</t>
  </si>
  <si>
    <t>Pullup resistor</t>
  </si>
  <si>
    <t>Relay control</t>
  </si>
  <si>
    <t>Worried about 1-wire loading?</t>
  </si>
  <si>
    <t>Yes</t>
  </si>
  <si>
    <t>Like lights?</t>
  </si>
  <si>
    <t>Worried about lightning induced pulses?</t>
  </si>
  <si>
    <t>You need</t>
  </si>
  <si>
    <t>iButton Clip</t>
  </si>
  <si>
    <t>Depth in inches</t>
  </si>
  <si>
    <t>Total</t>
  </si>
  <si>
    <t>1-Wire Connection</t>
  </si>
  <si>
    <t>RJ-45</t>
  </si>
  <si>
    <t>Screw terminals</t>
  </si>
  <si>
    <t>Board 1</t>
  </si>
  <si>
    <t>Board 2</t>
  </si>
  <si>
    <t>Board 3</t>
  </si>
  <si>
    <t>Board 4</t>
  </si>
  <si>
    <t>*DS2438Z</t>
  </si>
  <si>
    <t>*DS2423P</t>
  </si>
  <si>
    <t>*DS2890P</t>
  </si>
  <si>
    <t>*MPX4115A</t>
  </si>
  <si>
    <t>*DS2409P</t>
  </si>
  <si>
    <t>*DS9094F</t>
  </si>
  <si>
    <t>Dallas</t>
  </si>
  <si>
    <t>??</t>
  </si>
  <si>
    <t>This number is bogus as you cut a strip of 36 pins into upto 12 headers</t>
  </si>
  <si>
    <t>Constant current/voltage source</t>
  </si>
  <si>
    <t>Current source</t>
  </si>
  <si>
    <t>Voltage source</t>
  </si>
  <si>
    <t>Measure current/voltage</t>
  </si>
  <si>
    <t>Total @ digikey</t>
  </si>
  <si>
    <t>Instructions</t>
  </si>
  <si>
    <t>Fill out the area to the right</t>
  </si>
  <si>
    <t>Enter a number (normally 1) in each grey cell that indicates what you want</t>
  </si>
  <si>
    <t>The totals will be calculated and the components that you need are itemized.</t>
  </si>
  <si>
    <t>Note that the digikey prices all assume that you can buy one of each item. In</t>
  </si>
  <si>
    <t>general this is not the case -- many items are min order 10.</t>
  </si>
  <si>
    <t>D9</t>
  </si>
  <si>
    <t>DL4004</t>
  </si>
  <si>
    <t>surge suppressor blocking diode</t>
  </si>
  <si>
    <t>DL4004MSCT-ND</t>
  </si>
  <si>
    <t>D10</t>
  </si>
  <si>
    <t xml:space="preserve">Jumpers </t>
  </si>
  <si>
    <t xml:space="preserve">T203-P7P-ND </t>
  </si>
  <si>
    <t>wall transformer</t>
  </si>
  <si>
    <t>J7</t>
  </si>
  <si>
    <t>ED555/2DS</t>
  </si>
  <si>
    <t>lightning sensor input</t>
  </si>
  <si>
    <t>ED1514-ND</t>
  </si>
  <si>
    <t>Total:</t>
  </si>
  <si>
    <t>LMC555CM</t>
  </si>
  <si>
    <t>LMC555CM-ND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</si>
</sst>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;"/>
    <numFmt numFmtId="166" formatCode="0;;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6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2" borderId="0" xfId="0" applyFill="1" applyAlignment="1">
      <alignment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1"/>
  <sheetViews>
    <sheetView tabSelected="1" workbookViewId="0" topLeftCell="E55">
      <pane ySplit="6288" topLeftCell="BM50" activePane="topLeft" state="split"/>
      <selection pane="topLeft" activeCell="I16" sqref="I16"/>
      <selection pane="bottomLeft" activeCell="F64" sqref="F64"/>
    </sheetView>
  </sheetViews>
  <sheetFormatPr defaultColWidth="9.140625" defaultRowHeight="12.75"/>
  <cols>
    <col min="2" max="2" width="15.57421875" style="0" customWidth="1"/>
    <col min="3" max="3" width="0" style="0" hidden="1" customWidth="1"/>
    <col min="4" max="4" width="33.421875" style="0" customWidth="1"/>
    <col min="5" max="5" width="19.28125" style="0" customWidth="1"/>
    <col min="7" max="7" width="19.7109375" style="0" customWidth="1"/>
    <col min="9" max="9" width="5.57421875" style="0" customWidth="1"/>
    <col min="11" max="11" width="6.7109375" style="0" customWidth="1"/>
    <col min="13" max="13" width="6.28125" style="0" customWidth="1"/>
  </cols>
  <sheetData>
    <row r="1" spans="1:14" ht="12.75">
      <c r="A1" t="s">
        <v>229</v>
      </c>
      <c r="H1" t="s">
        <v>211</v>
      </c>
      <c r="J1" t="s">
        <v>212</v>
      </c>
      <c r="L1" t="s">
        <v>213</v>
      </c>
      <c r="N1" t="s">
        <v>214</v>
      </c>
    </row>
    <row r="2" spans="7:15" ht="12.75">
      <c r="G2" s="13" t="s">
        <v>186</v>
      </c>
      <c r="O2">
        <f>IF(SUM(H3:H6)&lt;1,"Choose at least one option","")</f>
      </c>
    </row>
    <row r="3" spans="1:14" ht="12.75">
      <c r="A3" t="s">
        <v>230</v>
      </c>
      <c r="G3" t="s">
        <v>187</v>
      </c>
      <c r="H3" s="20"/>
      <c r="J3" s="20"/>
      <c r="L3" s="20"/>
      <c r="N3" s="20"/>
    </row>
    <row r="4" spans="1:14" ht="12.75">
      <c r="A4" t="s">
        <v>231</v>
      </c>
      <c r="G4" t="s">
        <v>188</v>
      </c>
      <c r="H4" s="20">
        <v>1</v>
      </c>
      <c r="J4" s="20"/>
      <c r="L4" s="20"/>
      <c r="N4" s="20"/>
    </row>
    <row r="5" spans="1:14" ht="12.75">
      <c r="A5" t="s">
        <v>232</v>
      </c>
      <c r="G5" t="s">
        <v>189</v>
      </c>
      <c r="H5" s="20"/>
      <c r="J5" s="20">
        <v>1</v>
      </c>
      <c r="L5" s="20">
        <v>1</v>
      </c>
      <c r="N5" s="20"/>
    </row>
    <row r="6" spans="7:14" ht="12.75">
      <c r="G6" t="s">
        <v>190</v>
      </c>
      <c r="H6" s="20"/>
      <c r="J6" s="20"/>
      <c r="L6" s="20"/>
      <c r="N6" s="20">
        <v>1</v>
      </c>
    </row>
    <row r="7" ht="12.75">
      <c r="A7" t="s">
        <v>233</v>
      </c>
    </row>
    <row r="8" spans="1:15" ht="12.75">
      <c r="A8" t="s">
        <v>234</v>
      </c>
      <c r="G8" s="13" t="s">
        <v>191</v>
      </c>
      <c r="O8">
        <f>IF(SUM(H9:H10)&gt;1,"You can choose at most one option","")</f>
      </c>
    </row>
    <row r="9" spans="7:14" ht="12.75">
      <c r="G9" s="14" t="s">
        <v>192</v>
      </c>
      <c r="H9" s="20">
        <v>1</v>
      </c>
      <c r="J9" s="20"/>
      <c r="L9" s="20"/>
      <c r="N9" s="20"/>
    </row>
    <row r="10" spans="7:14" ht="12.75">
      <c r="G10" s="14" t="s">
        <v>193</v>
      </c>
      <c r="H10" s="20"/>
      <c r="J10" s="20"/>
      <c r="L10" s="20"/>
      <c r="N10" s="20">
        <v>1</v>
      </c>
    </row>
    <row r="11" ht="12.75">
      <c r="G11" s="14"/>
    </row>
    <row r="12" ht="12.75">
      <c r="G12" s="13" t="s">
        <v>194</v>
      </c>
    </row>
    <row r="13" spans="7:14" ht="12.75">
      <c r="G13" s="14" t="s">
        <v>195</v>
      </c>
      <c r="H13" s="20"/>
      <c r="J13" s="20">
        <v>1</v>
      </c>
      <c r="L13" s="20"/>
      <c r="N13" s="20"/>
    </row>
    <row r="14" spans="7:14" ht="12.75">
      <c r="G14" s="14" t="s">
        <v>206</v>
      </c>
      <c r="H14" s="20"/>
      <c r="J14" s="20">
        <v>6</v>
      </c>
      <c r="L14" s="20"/>
      <c r="N14" s="20"/>
    </row>
    <row r="15" ht="12.75">
      <c r="G15" s="14"/>
    </row>
    <row r="16" ht="12.75">
      <c r="G16" s="13" t="s">
        <v>196</v>
      </c>
    </row>
    <row r="17" spans="7:14" ht="12.75">
      <c r="G17" s="14" t="s">
        <v>195</v>
      </c>
      <c r="H17" s="20">
        <v>1</v>
      </c>
      <c r="J17" s="20"/>
      <c r="L17" s="20"/>
      <c r="N17" s="20">
        <v>1</v>
      </c>
    </row>
    <row r="18" ht="12.75">
      <c r="G18" s="14"/>
    </row>
    <row r="19" ht="12.75">
      <c r="G19" s="13" t="s">
        <v>197</v>
      </c>
    </row>
    <row r="20" spans="7:14" ht="12.75">
      <c r="G20" s="14" t="s">
        <v>195</v>
      </c>
      <c r="H20" s="20"/>
      <c r="J20" s="20"/>
      <c r="L20" s="20">
        <v>1</v>
      </c>
      <c r="N20" s="20">
        <v>1</v>
      </c>
    </row>
    <row r="21" spans="7:14" ht="12.75">
      <c r="G21" s="14" t="s">
        <v>198</v>
      </c>
      <c r="H21" s="20"/>
      <c r="J21" s="20"/>
      <c r="L21" s="20">
        <v>1</v>
      </c>
      <c r="N21" s="20">
        <v>1</v>
      </c>
    </row>
    <row r="22" ht="12.75">
      <c r="G22" s="14"/>
    </row>
    <row r="23" ht="12.75">
      <c r="G23" s="13" t="s">
        <v>199</v>
      </c>
    </row>
    <row r="24" spans="7:14" ht="12.75">
      <c r="G24" s="14" t="s">
        <v>195</v>
      </c>
      <c r="H24" s="20"/>
      <c r="J24" s="20"/>
      <c r="L24" s="20"/>
      <c r="N24" s="20">
        <v>1</v>
      </c>
    </row>
    <row r="25" ht="12.75">
      <c r="G25" s="14"/>
    </row>
    <row r="26" ht="12.75">
      <c r="G26" s="13" t="s">
        <v>224</v>
      </c>
    </row>
    <row r="27" spans="7:14" ht="12.75">
      <c r="G27" s="14" t="s">
        <v>225</v>
      </c>
      <c r="H27" s="20"/>
      <c r="J27" s="20">
        <v>1</v>
      </c>
      <c r="L27" s="20"/>
      <c r="N27" s="20"/>
    </row>
    <row r="28" spans="7:14" ht="12.75">
      <c r="G28" s="14" t="s">
        <v>226</v>
      </c>
      <c r="H28" s="20"/>
      <c r="J28" s="20"/>
      <c r="L28" s="20"/>
      <c r="N28" s="20"/>
    </row>
    <row r="29" spans="7:14" ht="12.75">
      <c r="G29" s="14" t="s">
        <v>227</v>
      </c>
      <c r="H29" s="20"/>
      <c r="J29" s="20">
        <v>1</v>
      </c>
      <c r="L29" s="20"/>
      <c r="N29" s="20"/>
    </row>
    <row r="30" ht="12.75">
      <c r="G30" s="14"/>
    </row>
    <row r="31" ht="12.75">
      <c r="G31" s="13" t="s">
        <v>205</v>
      </c>
    </row>
    <row r="32" spans="7:14" ht="12.75">
      <c r="G32" s="14" t="s">
        <v>201</v>
      </c>
      <c r="H32" s="20"/>
      <c r="J32" s="20"/>
      <c r="L32" s="20"/>
      <c r="N32" s="20">
        <v>1</v>
      </c>
    </row>
    <row r="33" ht="12.75">
      <c r="G33" s="14"/>
    </row>
    <row r="34" ht="12.75">
      <c r="G34" s="13" t="s">
        <v>200</v>
      </c>
    </row>
    <row r="35" spans="7:14" ht="12.75">
      <c r="G35" s="14" t="s">
        <v>201</v>
      </c>
      <c r="H35" s="20"/>
      <c r="J35" s="20"/>
      <c r="L35" s="20"/>
      <c r="N35" s="20"/>
    </row>
    <row r="36" spans="7:14" ht="12.75">
      <c r="G36" s="14"/>
      <c r="N36" s="20"/>
    </row>
    <row r="37" ht="12.75">
      <c r="G37" s="13" t="s">
        <v>202</v>
      </c>
    </row>
    <row r="38" spans="7:14" ht="12.75">
      <c r="G38" s="14" t="s">
        <v>201</v>
      </c>
      <c r="H38" s="20">
        <v>1</v>
      </c>
      <c r="J38" s="20"/>
      <c r="L38" s="20"/>
      <c r="N38" s="20">
        <v>1</v>
      </c>
    </row>
    <row r="39" ht="12.75">
      <c r="G39" s="14"/>
    </row>
    <row r="40" ht="12.75">
      <c r="G40" s="13" t="s">
        <v>203</v>
      </c>
    </row>
    <row r="41" spans="7:14" ht="12.75">
      <c r="G41" t="s">
        <v>201</v>
      </c>
      <c r="H41" s="20">
        <v>1</v>
      </c>
      <c r="J41" s="20">
        <v>1</v>
      </c>
      <c r="L41" s="20">
        <v>1</v>
      </c>
      <c r="N41" s="20">
        <v>1</v>
      </c>
    </row>
    <row r="43" spans="7:15" ht="12.75">
      <c r="G43" s="13" t="s">
        <v>208</v>
      </c>
      <c r="O43">
        <f>IF(H44+H45=0,"You must select at least one 1-wire input","")</f>
      </c>
    </row>
    <row r="44" spans="7:14" ht="12.75">
      <c r="G44" t="s">
        <v>209</v>
      </c>
      <c r="H44" s="20">
        <v>1</v>
      </c>
      <c r="J44" s="20"/>
      <c r="L44" s="20"/>
      <c r="N44" s="20">
        <v>1</v>
      </c>
    </row>
    <row r="45" spans="7:14" ht="12.75">
      <c r="G45" t="s">
        <v>210</v>
      </c>
      <c r="H45" s="20"/>
      <c r="J45" s="20">
        <v>1</v>
      </c>
      <c r="L45" s="20">
        <v>1</v>
      </c>
      <c r="N45" s="20"/>
    </row>
    <row r="47" ht="12.75">
      <c r="G47" s="13" t="s">
        <v>180</v>
      </c>
    </row>
    <row r="48" spans="7:14" ht="12.75">
      <c r="G48" t="s">
        <v>201</v>
      </c>
      <c r="H48" s="20">
        <v>1</v>
      </c>
      <c r="J48" s="20">
        <v>1</v>
      </c>
      <c r="L48" s="20">
        <v>1</v>
      </c>
      <c r="N48" s="20">
        <v>1</v>
      </c>
    </row>
    <row r="50" spans="7:14" ht="12.75">
      <c r="G50" t="s">
        <v>207</v>
      </c>
      <c r="H50" s="15">
        <f>H115</f>
        <v>13.439999999999998</v>
      </c>
      <c r="I50" s="15"/>
      <c r="J50" s="15">
        <f>J115</f>
        <v>22.599999999999998</v>
      </c>
      <c r="K50" s="15"/>
      <c r="L50" s="15">
        <f>L115</f>
        <v>13.96</v>
      </c>
      <c r="M50" s="15"/>
      <c r="N50" s="15">
        <f>N115</f>
        <v>27.94</v>
      </c>
    </row>
    <row r="51" spans="1:8" ht="30.75">
      <c r="A51" s="7" t="s">
        <v>0</v>
      </c>
      <c r="B51" s="8" t="s">
        <v>1</v>
      </c>
      <c r="C51" s="8" t="s">
        <v>2</v>
      </c>
      <c r="D51" s="8" t="s">
        <v>3</v>
      </c>
      <c r="E51" s="9" t="s">
        <v>4</v>
      </c>
      <c r="F51" s="9" t="s">
        <v>5</v>
      </c>
      <c r="G51" t="s">
        <v>204</v>
      </c>
      <c r="H51" t="s">
        <v>207</v>
      </c>
    </row>
    <row r="52" spans="1:14" ht="12.75">
      <c r="A52" s="10" t="s">
        <v>6</v>
      </c>
      <c r="B52" s="1" t="s">
        <v>7</v>
      </c>
      <c r="C52" s="1" t="s">
        <v>8</v>
      </c>
      <c r="D52" s="1" t="s">
        <v>9</v>
      </c>
      <c r="E52" s="3" t="s">
        <v>10</v>
      </c>
      <c r="F52" s="16">
        <v>0.24</v>
      </c>
      <c r="G52" s="18">
        <f>SUM(H9:H10)</f>
        <v>1</v>
      </c>
      <c r="H52" s="15">
        <f aca="true" t="shared" si="0" ref="H52:H83">$F52*G52</f>
        <v>0.24</v>
      </c>
      <c r="I52" s="18">
        <f>SUM(J9:J10)</f>
        <v>0</v>
      </c>
      <c r="J52" s="15">
        <f aca="true" t="shared" si="1" ref="J52:J83">$F52*I52</f>
        <v>0</v>
      </c>
      <c r="K52" s="18">
        <f>SUM(L9:L10)</f>
        <v>0</v>
      </c>
      <c r="L52" s="15">
        <f aca="true" t="shared" si="2" ref="L52:L85">$F52*K52</f>
        <v>0</v>
      </c>
      <c r="M52" s="18">
        <f>SUM(N9:N10)</f>
        <v>1</v>
      </c>
      <c r="N52" s="15">
        <f aca="true" t="shared" si="3" ref="N52:N85">$F52*M52</f>
        <v>0.24</v>
      </c>
    </row>
    <row r="53" spans="1:14" ht="12.75">
      <c r="A53" s="10" t="s">
        <v>11</v>
      </c>
      <c r="B53" s="1" t="s">
        <v>7</v>
      </c>
      <c r="C53" s="1" t="s">
        <v>8</v>
      </c>
      <c r="D53" s="1" t="s">
        <v>12</v>
      </c>
      <c r="E53" s="3" t="s">
        <v>10</v>
      </c>
      <c r="F53" s="16">
        <v>0.24</v>
      </c>
      <c r="G53" s="18">
        <f>G52</f>
        <v>1</v>
      </c>
      <c r="H53" s="15">
        <f t="shared" si="0"/>
        <v>0.24</v>
      </c>
      <c r="I53" s="18">
        <f>I52</f>
        <v>0</v>
      </c>
      <c r="J53" s="15">
        <f t="shared" si="1"/>
        <v>0</v>
      </c>
      <c r="K53" s="18">
        <f>K52</f>
        <v>0</v>
      </c>
      <c r="L53" s="15">
        <f t="shared" si="2"/>
        <v>0</v>
      </c>
      <c r="M53" s="18">
        <f>M52</f>
        <v>1</v>
      </c>
      <c r="N53" s="15">
        <f t="shared" si="3"/>
        <v>0.24</v>
      </c>
    </row>
    <row r="54" spans="1:14" ht="12.75">
      <c r="A54" s="10" t="s">
        <v>13</v>
      </c>
      <c r="B54" s="1" t="s">
        <v>14</v>
      </c>
      <c r="C54" s="1" t="s">
        <v>8</v>
      </c>
      <c r="D54" s="1" t="s">
        <v>15</v>
      </c>
      <c r="E54" s="3" t="s">
        <v>16</v>
      </c>
      <c r="F54" s="16">
        <v>0.09</v>
      </c>
      <c r="G54" s="18">
        <f>IF(SUM(H5:H6)&gt;0,1,0)</f>
        <v>0</v>
      </c>
      <c r="H54" s="15">
        <f t="shared" si="0"/>
        <v>0</v>
      </c>
      <c r="I54" s="18">
        <f>IF(SUM(J5:J6)&gt;0,1,0)</f>
        <v>1</v>
      </c>
      <c r="J54" s="15">
        <f t="shared" si="1"/>
        <v>0.09</v>
      </c>
      <c r="K54" s="18">
        <f>IF(SUM(L5:L6)&gt;0,1,0)</f>
        <v>1</v>
      </c>
      <c r="L54" s="15">
        <f t="shared" si="2"/>
        <v>0.09</v>
      </c>
      <c r="M54" s="18">
        <f>IF(SUM(N5:N6)&gt;0,1,0)</f>
        <v>1</v>
      </c>
      <c r="N54" s="15">
        <f t="shared" si="3"/>
        <v>0.09</v>
      </c>
    </row>
    <row r="55" spans="1:14" ht="12.75">
      <c r="A55" s="10" t="s">
        <v>17</v>
      </c>
      <c r="B55" s="1" t="s">
        <v>18</v>
      </c>
      <c r="C55" s="1" t="s">
        <v>8</v>
      </c>
      <c r="D55" s="1" t="s">
        <v>19</v>
      </c>
      <c r="E55" s="3" t="s">
        <v>20</v>
      </c>
      <c r="F55" s="16">
        <v>0.1</v>
      </c>
      <c r="G55" s="18">
        <f>IF(SUM(H20)+SUM(H17)+SUM(H13)&gt;0,1,0)</f>
        <v>1</v>
      </c>
      <c r="H55" s="15">
        <f t="shared" si="0"/>
        <v>0.1</v>
      </c>
      <c r="I55" s="18">
        <f>IF(SUM(J20)+SUM(J17)+SUM(J13)&gt;0,1,0)</f>
        <v>1</v>
      </c>
      <c r="J55" s="15">
        <f t="shared" si="1"/>
        <v>0.1</v>
      </c>
      <c r="K55" s="18">
        <f>IF(SUM(L20)+SUM(L17)+SUM(L13)&gt;0,1,0)</f>
        <v>1</v>
      </c>
      <c r="L55" s="15">
        <f t="shared" si="2"/>
        <v>0.1</v>
      </c>
      <c r="M55" s="18">
        <f>IF(SUM(N20)+SUM(N17)+SUM(N13)&gt;0,1,0)</f>
        <v>1</v>
      </c>
      <c r="N55" s="15">
        <f t="shared" si="3"/>
        <v>0.1</v>
      </c>
    </row>
    <row r="56" spans="1:14" ht="12.75">
      <c r="A56" s="10" t="s">
        <v>21</v>
      </c>
      <c r="B56" s="1" t="s">
        <v>14</v>
      </c>
      <c r="C56" s="1" t="s">
        <v>8</v>
      </c>
      <c r="D56" s="1" t="s">
        <v>22</v>
      </c>
      <c r="E56" s="3" t="s">
        <v>16</v>
      </c>
      <c r="F56" s="16">
        <v>0.09</v>
      </c>
      <c r="G56" s="18">
        <f>H13</f>
        <v>0</v>
      </c>
      <c r="H56" s="15">
        <f t="shared" si="0"/>
        <v>0</v>
      </c>
      <c r="I56" s="18">
        <f>J13</f>
        <v>1</v>
      </c>
      <c r="J56" s="15">
        <f t="shared" si="1"/>
        <v>0.09</v>
      </c>
      <c r="K56" s="18">
        <f>L13</f>
        <v>0</v>
      </c>
      <c r="L56" s="15">
        <f t="shared" si="2"/>
        <v>0</v>
      </c>
      <c r="M56" s="18">
        <f>N13</f>
        <v>0</v>
      </c>
      <c r="N56" s="15">
        <f t="shared" si="3"/>
        <v>0</v>
      </c>
    </row>
    <row r="57" spans="1:14" ht="12.75">
      <c r="A57" s="10" t="s">
        <v>23</v>
      </c>
      <c r="B57" s="1" t="s">
        <v>18</v>
      </c>
      <c r="C57" s="1" t="s">
        <v>8</v>
      </c>
      <c r="D57" s="1" t="s">
        <v>24</v>
      </c>
      <c r="E57" s="3" t="s">
        <v>20</v>
      </c>
      <c r="F57" s="16">
        <v>0.1</v>
      </c>
      <c r="G57" s="18">
        <f>H13</f>
        <v>0</v>
      </c>
      <c r="H57" s="15">
        <f t="shared" si="0"/>
        <v>0</v>
      </c>
      <c r="I57" s="18">
        <f>J13</f>
        <v>1</v>
      </c>
      <c r="J57" s="15">
        <f t="shared" si="1"/>
        <v>0.1</v>
      </c>
      <c r="K57" s="18">
        <f>L13</f>
        <v>0</v>
      </c>
      <c r="L57" s="15">
        <f t="shared" si="2"/>
        <v>0</v>
      </c>
      <c r="M57" s="18">
        <f>N13</f>
        <v>0</v>
      </c>
      <c r="N57" s="15">
        <f t="shared" si="3"/>
        <v>0</v>
      </c>
    </row>
    <row r="58" spans="1:14" ht="12.75">
      <c r="A58" s="10" t="s">
        <v>25</v>
      </c>
      <c r="B58" s="1" t="s">
        <v>18</v>
      </c>
      <c r="C58" s="1" t="s">
        <v>8</v>
      </c>
      <c r="D58" s="1" t="s">
        <v>26</v>
      </c>
      <c r="E58" s="3" t="s">
        <v>20</v>
      </c>
      <c r="F58" s="16">
        <v>0.1</v>
      </c>
      <c r="G58" s="18">
        <f>IF(SUM(H27)+SUM(H28)&gt;0,1,0)</f>
        <v>0</v>
      </c>
      <c r="H58" s="15">
        <f t="shared" si="0"/>
        <v>0</v>
      </c>
      <c r="I58" s="18">
        <f>IF(SUM(J27)+SUM(J28)&gt;0,1,0)</f>
        <v>1</v>
      </c>
      <c r="J58" s="15">
        <f t="shared" si="1"/>
        <v>0.1</v>
      </c>
      <c r="K58" s="18">
        <f>IF(SUM(L27)+SUM(L28)&gt;0,1,0)</f>
        <v>0</v>
      </c>
      <c r="L58" s="15">
        <f t="shared" si="2"/>
        <v>0</v>
      </c>
      <c r="M58" s="18">
        <f>IF(SUM(N27)+SUM(N28)&gt;0,1,0)</f>
        <v>0</v>
      </c>
      <c r="N58" s="15">
        <f t="shared" si="3"/>
        <v>0</v>
      </c>
    </row>
    <row r="59" spans="1:14" ht="12.75">
      <c r="A59" s="10" t="s">
        <v>27</v>
      </c>
      <c r="B59" s="1" t="s">
        <v>7</v>
      </c>
      <c r="C59" s="1" t="s">
        <v>8</v>
      </c>
      <c r="D59" s="1" t="s">
        <v>28</v>
      </c>
      <c r="E59" s="3" t="s">
        <v>10</v>
      </c>
      <c r="F59" s="16">
        <v>0.24</v>
      </c>
      <c r="G59" s="18">
        <f>H3</f>
        <v>0</v>
      </c>
      <c r="H59" s="15">
        <f t="shared" si="0"/>
        <v>0</v>
      </c>
      <c r="I59" s="18">
        <f>J3</f>
        <v>0</v>
      </c>
      <c r="J59" s="15">
        <f t="shared" si="1"/>
        <v>0</v>
      </c>
      <c r="K59" s="18">
        <f>L3</f>
        <v>0</v>
      </c>
      <c r="L59" s="15">
        <f t="shared" si="2"/>
        <v>0</v>
      </c>
      <c r="M59" s="18">
        <f>N3</f>
        <v>0</v>
      </c>
      <c r="N59" s="15">
        <f t="shared" si="3"/>
        <v>0</v>
      </c>
    </row>
    <row r="60" spans="1:14" ht="12.75">
      <c r="A60" s="10" t="s">
        <v>29</v>
      </c>
      <c r="B60" s="1" t="s">
        <v>18</v>
      </c>
      <c r="C60" s="1" t="s">
        <v>8</v>
      </c>
      <c r="D60" s="1" t="s">
        <v>30</v>
      </c>
      <c r="E60" s="3" t="s">
        <v>20</v>
      </c>
      <c r="F60" s="16">
        <v>0.1</v>
      </c>
      <c r="G60" s="18">
        <f>G52</f>
        <v>1</v>
      </c>
      <c r="H60" s="15">
        <f t="shared" si="0"/>
        <v>0.1</v>
      </c>
      <c r="I60" s="18">
        <f>I52</f>
        <v>0</v>
      </c>
      <c r="J60" s="15">
        <f t="shared" si="1"/>
        <v>0</v>
      </c>
      <c r="K60" s="18">
        <f>K52</f>
        <v>0</v>
      </c>
      <c r="L60" s="15">
        <f t="shared" si="2"/>
        <v>0</v>
      </c>
      <c r="M60" s="18">
        <f>M52</f>
        <v>1</v>
      </c>
      <c r="N60" s="15">
        <f t="shared" si="3"/>
        <v>0.1</v>
      </c>
    </row>
    <row r="61" spans="1:14" ht="12.75">
      <c r="A61" s="10" t="s">
        <v>31</v>
      </c>
      <c r="B61" s="1" t="s">
        <v>14</v>
      </c>
      <c r="C61" s="1" t="s">
        <v>8</v>
      </c>
      <c r="D61" s="1" t="s">
        <v>12</v>
      </c>
      <c r="E61" s="3" t="s">
        <v>16</v>
      </c>
      <c r="F61" s="16">
        <v>0.09</v>
      </c>
      <c r="G61" s="18">
        <f>G60</f>
        <v>1</v>
      </c>
      <c r="H61" s="15">
        <f t="shared" si="0"/>
        <v>0.09</v>
      </c>
      <c r="I61" s="18">
        <f>I60</f>
        <v>0</v>
      </c>
      <c r="J61" s="15">
        <f t="shared" si="1"/>
        <v>0</v>
      </c>
      <c r="K61" s="18">
        <f>K60</f>
        <v>0</v>
      </c>
      <c r="L61" s="15">
        <f t="shared" si="2"/>
        <v>0</v>
      </c>
      <c r="M61" s="18">
        <f>M60</f>
        <v>1</v>
      </c>
      <c r="N61" s="15">
        <f t="shared" si="3"/>
        <v>0.09</v>
      </c>
    </row>
    <row r="62" spans="1:14" ht="12.75">
      <c r="A62" s="10" t="s">
        <v>32</v>
      </c>
      <c r="B62" s="1" t="s">
        <v>33</v>
      </c>
      <c r="C62" s="1" t="s">
        <v>34</v>
      </c>
      <c r="D62" s="1" t="s">
        <v>15</v>
      </c>
      <c r="E62" s="3" t="s">
        <v>35</v>
      </c>
      <c r="F62" s="16">
        <v>0.47</v>
      </c>
      <c r="G62" s="18">
        <f>G54</f>
        <v>0</v>
      </c>
      <c r="H62" s="15">
        <f t="shared" si="0"/>
        <v>0</v>
      </c>
      <c r="I62" s="18">
        <f>I54</f>
        <v>1</v>
      </c>
      <c r="J62" s="15">
        <f t="shared" si="1"/>
        <v>0.47</v>
      </c>
      <c r="K62" s="18">
        <f>K54</f>
        <v>1</v>
      </c>
      <c r="L62" s="15">
        <f t="shared" si="2"/>
        <v>0.47</v>
      </c>
      <c r="M62" s="18">
        <f>M54</f>
        <v>1</v>
      </c>
      <c r="N62" s="15">
        <f t="shared" si="3"/>
        <v>0.47</v>
      </c>
    </row>
    <row r="63" spans="1:14" ht="12.75">
      <c r="A63" s="10" t="s">
        <v>36</v>
      </c>
      <c r="B63" s="1" t="s">
        <v>37</v>
      </c>
      <c r="C63" s="1" t="s">
        <v>38</v>
      </c>
      <c r="D63" s="1" t="s">
        <v>39</v>
      </c>
      <c r="E63" s="3" t="s">
        <v>40</v>
      </c>
      <c r="F63" s="16">
        <v>0.84</v>
      </c>
      <c r="G63" s="18">
        <f>H41*G57</f>
        <v>0</v>
      </c>
      <c r="H63" s="15">
        <f t="shared" si="0"/>
        <v>0</v>
      </c>
      <c r="I63" s="18">
        <f>J41*I57</f>
        <v>1</v>
      </c>
      <c r="J63" s="15">
        <f t="shared" si="1"/>
        <v>0.84</v>
      </c>
      <c r="K63" s="18">
        <f>L41*K57</f>
        <v>0</v>
      </c>
      <c r="L63" s="15">
        <f t="shared" si="2"/>
        <v>0</v>
      </c>
      <c r="M63" s="18">
        <f>N41*M57</f>
        <v>0</v>
      </c>
      <c r="N63" s="15">
        <f t="shared" si="3"/>
        <v>0</v>
      </c>
    </row>
    <row r="64" spans="1:14" ht="12.75">
      <c r="A64" s="10" t="s">
        <v>41</v>
      </c>
      <c r="B64" s="1" t="s">
        <v>42</v>
      </c>
      <c r="C64" s="1" t="s">
        <v>43</v>
      </c>
      <c r="D64" s="1" t="s">
        <v>44</v>
      </c>
      <c r="E64" s="3" t="s">
        <v>45</v>
      </c>
      <c r="F64" s="16">
        <v>0.36</v>
      </c>
      <c r="G64" s="18">
        <f>H41</f>
        <v>1</v>
      </c>
      <c r="H64" s="15">
        <f t="shared" si="0"/>
        <v>0.36</v>
      </c>
      <c r="I64" s="18">
        <f>J41</f>
        <v>1</v>
      </c>
      <c r="J64" s="15">
        <f t="shared" si="1"/>
        <v>0.36</v>
      </c>
      <c r="K64" s="18">
        <f>L41</f>
        <v>1</v>
      </c>
      <c r="L64" s="15">
        <f t="shared" si="2"/>
        <v>0.36</v>
      </c>
      <c r="M64" s="18">
        <f>N41</f>
        <v>1</v>
      </c>
      <c r="N64" s="15">
        <f t="shared" si="3"/>
        <v>0.36</v>
      </c>
    </row>
    <row r="65" spans="1:14" ht="12.75">
      <c r="A65" s="10" t="s">
        <v>46</v>
      </c>
      <c r="B65" s="1" t="s">
        <v>42</v>
      </c>
      <c r="C65" s="1" t="s">
        <v>43</v>
      </c>
      <c r="D65" s="1" t="s">
        <v>15</v>
      </c>
      <c r="E65" s="3" t="s">
        <v>45</v>
      </c>
      <c r="F65" s="16">
        <v>0.36</v>
      </c>
      <c r="G65" s="18">
        <f>G62*H41</f>
        <v>0</v>
      </c>
      <c r="H65" s="15">
        <f t="shared" si="0"/>
        <v>0</v>
      </c>
      <c r="I65" s="18">
        <f>I62*J41</f>
        <v>1</v>
      </c>
      <c r="J65" s="15">
        <f t="shared" si="1"/>
        <v>0.36</v>
      </c>
      <c r="K65" s="18">
        <f>K62*L41</f>
        <v>1</v>
      </c>
      <c r="L65" s="15">
        <f t="shared" si="2"/>
        <v>0.36</v>
      </c>
      <c r="M65" s="18">
        <f>M62*N41</f>
        <v>1</v>
      </c>
      <c r="N65" s="15">
        <f t="shared" si="3"/>
        <v>0.36</v>
      </c>
    </row>
    <row r="66" spans="1:14" ht="12.75">
      <c r="A66" s="10" t="s">
        <v>47</v>
      </c>
      <c r="B66" s="1" t="s">
        <v>42</v>
      </c>
      <c r="C66" s="1" t="s">
        <v>43</v>
      </c>
      <c r="D66" s="1" t="s">
        <v>48</v>
      </c>
      <c r="E66" s="3" t="s">
        <v>45</v>
      </c>
      <c r="F66" s="16">
        <v>0.36</v>
      </c>
      <c r="G66" s="18">
        <f>H41*H17</f>
        <v>1</v>
      </c>
      <c r="H66" s="15">
        <f t="shared" si="0"/>
        <v>0.36</v>
      </c>
      <c r="I66" s="18">
        <f>J41*J17</f>
        <v>0</v>
      </c>
      <c r="J66" s="15">
        <f t="shared" si="1"/>
        <v>0</v>
      </c>
      <c r="K66" s="18">
        <f>L41*L17</f>
        <v>0</v>
      </c>
      <c r="L66" s="15">
        <f t="shared" si="2"/>
        <v>0</v>
      </c>
      <c r="M66" s="18">
        <f>N41*N17</f>
        <v>1</v>
      </c>
      <c r="N66" s="15">
        <f t="shared" si="3"/>
        <v>0.36</v>
      </c>
    </row>
    <row r="67" spans="1:14" ht="12.75">
      <c r="A67" s="10" t="s">
        <v>49</v>
      </c>
      <c r="B67" s="1" t="s">
        <v>37</v>
      </c>
      <c r="C67" s="1" t="s">
        <v>38</v>
      </c>
      <c r="D67" s="1" t="s">
        <v>50</v>
      </c>
      <c r="E67" s="3" t="s">
        <v>40</v>
      </c>
      <c r="F67" s="16">
        <v>0.84</v>
      </c>
      <c r="G67" s="18">
        <v>1</v>
      </c>
      <c r="H67" s="15">
        <f t="shared" si="0"/>
        <v>0.84</v>
      </c>
      <c r="I67" s="18">
        <v>1</v>
      </c>
      <c r="J67" s="15">
        <f t="shared" si="1"/>
        <v>0.84</v>
      </c>
      <c r="K67" s="18">
        <v>1</v>
      </c>
      <c r="L67" s="15">
        <f t="shared" si="2"/>
        <v>0.84</v>
      </c>
      <c r="M67" s="18">
        <v>1</v>
      </c>
      <c r="N67" s="15">
        <f t="shared" si="3"/>
        <v>0.84</v>
      </c>
    </row>
    <row r="68" spans="1:14" ht="12.75">
      <c r="A68" s="10" t="s">
        <v>51</v>
      </c>
      <c r="B68" s="1" t="s">
        <v>52</v>
      </c>
      <c r="C68" s="1" t="s">
        <v>52</v>
      </c>
      <c r="D68" s="1" t="s">
        <v>53</v>
      </c>
      <c r="E68" s="3" t="s">
        <v>54</v>
      </c>
      <c r="F68" s="16">
        <v>0.1</v>
      </c>
      <c r="G68" s="18">
        <f>H38</f>
        <v>1</v>
      </c>
      <c r="H68" s="15">
        <f t="shared" si="0"/>
        <v>0.1</v>
      </c>
      <c r="I68" s="18">
        <f>J38</f>
        <v>0</v>
      </c>
      <c r="J68" s="15">
        <f t="shared" si="1"/>
        <v>0</v>
      </c>
      <c r="K68" s="18">
        <f>L38</f>
        <v>0</v>
      </c>
      <c r="L68" s="15">
        <f t="shared" si="2"/>
        <v>0</v>
      </c>
      <c r="M68" s="18">
        <f>N38</f>
        <v>1</v>
      </c>
      <c r="N68" s="15">
        <f t="shared" si="3"/>
        <v>0.1</v>
      </c>
    </row>
    <row r="69" spans="1:14" ht="12.75">
      <c r="A69" s="10" t="s">
        <v>55</v>
      </c>
      <c r="B69" s="1" t="s">
        <v>236</v>
      </c>
      <c r="C69" s="1" t="s">
        <v>56</v>
      </c>
      <c r="D69" s="1" t="s">
        <v>57</v>
      </c>
      <c r="E69" s="3" t="s">
        <v>238</v>
      </c>
      <c r="F69" s="16">
        <v>0.2</v>
      </c>
      <c r="G69" s="18">
        <f>H24</f>
        <v>0</v>
      </c>
      <c r="H69" s="15">
        <f t="shared" si="0"/>
        <v>0</v>
      </c>
      <c r="I69" s="18">
        <f>J24</f>
        <v>0</v>
      </c>
      <c r="J69" s="15">
        <f t="shared" si="1"/>
        <v>0</v>
      </c>
      <c r="K69" s="18">
        <f>L24</f>
        <v>0</v>
      </c>
      <c r="L69" s="15">
        <f t="shared" si="2"/>
        <v>0</v>
      </c>
      <c r="M69" s="18">
        <f>N24</f>
        <v>1</v>
      </c>
      <c r="N69" s="15">
        <f t="shared" si="3"/>
        <v>0.2</v>
      </c>
    </row>
    <row r="70" spans="1:14" ht="12.75">
      <c r="A70" s="10" t="s">
        <v>59</v>
      </c>
      <c r="B70" s="1" t="s">
        <v>52</v>
      </c>
      <c r="C70" s="1" t="s">
        <v>52</v>
      </c>
      <c r="D70" s="1" t="s">
        <v>60</v>
      </c>
      <c r="E70" s="3" t="s">
        <v>54</v>
      </c>
      <c r="F70" s="16">
        <v>0.1</v>
      </c>
      <c r="G70" s="18">
        <f>IF(AND(G83&gt;0,H24=0,H38&gt;0),1,0)</f>
        <v>0</v>
      </c>
      <c r="H70" s="15">
        <f t="shared" si="0"/>
        <v>0</v>
      </c>
      <c r="I70" s="18">
        <f>IF(AND(I83&gt;0,J24=0,J38&gt;0),1,0)</f>
        <v>0</v>
      </c>
      <c r="J70" s="15">
        <f t="shared" si="1"/>
        <v>0</v>
      </c>
      <c r="K70" s="18">
        <f>IF(AND(K83&gt;0,L24=0,L38&gt;0),1,0)</f>
        <v>0</v>
      </c>
      <c r="L70" s="15">
        <f t="shared" si="2"/>
        <v>0</v>
      </c>
      <c r="M70" s="18">
        <f>IF(AND(M83&gt;0,N24=0,N38&gt;0),1,0)</f>
        <v>0</v>
      </c>
      <c r="N70" s="15">
        <f t="shared" si="3"/>
        <v>0</v>
      </c>
    </row>
    <row r="71" spans="1:14" ht="12.75">
      <c r="A71" s="10" t="s">
        <v>235</v>
      </c>
      <c r="B71" s="1" t="s">
        <v>236</v>
      </c>
      <c r="C71" s="1"/>
      <c r="D71" s="1" t="s">
        <v>237</v>
      </c>
      <c r="E71" s="3" t="s">
        <v>238</v>
      </c>
      <c r="F71" s="16">
        <v>0.2</v>
      </c>
      <c r="G71" s="18">
        <f>G64</f>
        <v>1</v>
      </c>
      <c r="H71" s="15">
        <f t="shared" si="0"/>
        <v>0.2</v>
      </c>
      <c r="I71" s="18">
        <f>I64</f>
        <v>1</v>
      </c>
      <c r="J71" s="15">
        <f t="shared" si="1"/>
        <v>0.2</v>
      </c>
      <c r="K71" s="18">
        <f>K64</f>
        <v>1</v>
      </c>
      <c r="L71" s="15">
        <f>$F71*K71</f>
        <v>0.2</v>
      </c>
      <c r="M71" s="18">
        <f>M64</f>
        <v>1</v>
      </c>
      <c r="N71" s="15">
        <f>$F71*M71</f>
        <v>0.2</v>
      </c>
    </row>
    <row r="72" spans="1:14" ht="12.75">
      <c r="A72" s="10" t="s">
        <v>239</v>
      </c>
      <c r="B72" s="1" t="s">
        <v>236</v>
      </c>
      <c r="C72" s="1"/>
      <c r="D72" s="1" t="s">
        <v>237</v>
      </c>
      <c r="E72" s="3" t="s">
        <v>238</v>
      </c>
      <c r="F72" s="16">
        <v>0.2</v>
      </c>
      <c r="G72" s="18">
        <f>G64</f>
        <v>1</v>
      </c>
      <c r="H72" s="15">
        <f t="shared" si="0"/>
        <v>0.2</v>
      </c>
      <c r="I72" s="18">
        <f>I64</f>
        <v>1</v>
      </c>
      <c r="J72" s="15">
        <f t="shared" si="1"/>
        <v>0.2</v>
      </c>
      <c r="K72" s="18">
        <f>K64</f>
        <v>1</v>
      </c>
      <c r="L72" s="15">
        <f>$F72*K72</f>
        <v>0.2</v>
      </c>
      <c r="M72" s="18">
        <f>M64</f>
        <v>1</v>
      </c>
      <c r="N72" s="15">
        <f>$F72*M72</f>
        <v>0.2</v>
      </c>
    </row>
    <row r="73" spans="1:14" ht="12.75">
      <c r="A73" s="10" t="s">
        <v>61</v>
      </c>
      <c r="B73" s="1" t="s">
        <v>62</v>
      </c>
      <c r="C73" s="1" t="s">
        <v>63</v>
      </c>
      <c r="D73" s="1" t="s">
        <v>15</v>
      </c>
      <c r="E73" s="3" t="s">
        <v>64</v>
      </c>
      <c r="F73" s="16">
        <v>0.9</v>
      </c>
      <c r="G73" s="18">
        <f>G54</f>
        <v>0</v>
      </c>
      <c r="H73" s="15">
        <f t="shared" si="0"/>
        <v>0</v>
      </c>
      <c r="I73" s="18">
        <f>I54</f>
        <v>1</v>
      </c>
      <c r="J73" s="15">
        <f t="shared" si="1"/>
        <v>0.9</v>
      </c>
      <c r="K73" s="18">
        <f>K54</f>
        <v>1</v>
      </c>
      <c r="L73" s="15">
        <f t="shared" si="2"/>
        <v>0.9</v>
      </c>
      <c r="M73" s="18">
        <f>M54</f>
        <v>1</v>
      </c>
      <c r="N73" s="15">
        <f t="shared" si="3"/>
        <v>0.9</v>
      </c>
    </row>
    <row r="74" spans="1:14" ht="12.75">
      <c r="A74" s="10" t="s">
        <v>65</v>
      </c>
      <c r="B74" s="1" t="s">
        <v>66</v>
      </c>
      <c r="C74" s="1" t="s">
        <v>67</v>
      </c>
      <c r="D74" s="1" t="s">
        <v>68</v>
      </c>
      <c r="E74" s="2" t="str">
        <f>"*"&amp;B74</f>
        <v>*DS2438Z</v>
      </c>
      <c r="F74" s="17"/>
      <c r="G74" s="18">
        <f>H29</f>
        <v>0</v>
      </c>
      <c r="H74" s="15">
        <f t="shared" si="0"/>
        <v>0</v>
      </c>
      <c r="I74" s="18">
        <f>J29</f>
        <v>1</v>
      </c>
      <c r="J74" s="15">
        <f t="shared" si="1"/>
        <v>0</v>
      </c>
      <c r="K74" s="18">
        <f>L29</f>
        <v>0</v>
      </c>
      <c r="L74" s="15">
        <f t="shared" si="2"/>
        <v>0</v>
      </c>
      <c r="M74" s="18">
        <f>N29</f>
        <v>0</v>
      </c>
      <c r="N74" s="15">
        <f t="shared" si="3"/>
        <v>0</v>
      </c>
    </row>
    <row r="75" spans="1:14" ht="12.75">
      <c r="A75" s="10" t="s">
        <v>69</v>
      </c>
      <c r="B75" s="1" t="s">
        <v>70</v>
      </c>
      <c r="C75" s="1" t="s">
        <v>71</v>
      </c>
      <c r="D75" s="1" t="s">
        <v>72</v>
      </c>
      <c r="E75" s="2" t="str">
        <f>"*"&amp;B75</f>
        <v>*DS2423P</v>
      </c>
      <c r="F75" s="16"/>
      <c r="G75" s="18">
        <f>G55</f>
        <v>1</v>
      </c>
      <c r="H75" s="15">
        <f t="shared" si="0"/>
        <v>0</v>
      </c>
      <c r="I75" s="18">
        <f>I55</f>
        <v>1</v>
      </c>
      <c r="J75" s="15">
        <f t="shared" si="1"/>
        <v>0</v>
      </c>
      <c r="K75" s="18">
        <f>K55</f>
        <v>1</v>
      </c>
      <c r="L75" s="15">
        <f t="shared" si="2"/>
        <v>0</v>
      </c>
      <c r="M75" s="18">
        <f>M55</f>
        <v>1</v>
      </c>
      <c r="N75" s="15">
        <f t="shared" si="3"/>
        <v>0</v>
      </c>
    </row>
    <row r="76" spans="1:14" ht="12.75">
      <c r="A76" s="10" t="s">
        <v>73</v>
      </c>
      <c r="B76" s="1" t="s">
        <v>248</v>
      </c>
      <c r="C76" s="1" t="s">
        <v>67</v>
      </c>
      <c r="D76" s="1" t="s">
        <v>74</v>
      </c>
      <c r="E76" s="3" t="s">
        <v>249</v>
      </c>
      <c r="F76" s="16">
        <v>0.56</v>
      </c>
      <c r="G76" s="18">
        <f>G56</f>
        <v>0</v>
      </c>
      <c r="H76" s="15">
        <f t="shared" si="0"/>
        <v>0</v>
      </c>
      <c r="I76" s="18">
        <f>I56</f>
        <v>1</v>
      </c>
      <c r="J76" s="15">
        <f t="shared" si="1"/>
        <v>0.56</v>
      </c>
      <c r="K76" s="18">
        <f>K56</f>
        <v>0</v>
      </c>
      <c r="L76" s="15">
        <f t="shared" si="2"/>
        <v>0</v>
      </c>
      <c r="M76" s="18">
        <f>M56</f>
        <v>0</v>
      </c>
      <c r="N76" s="15">
        <f t="shared" si="3"/>
        <v>0</v>
      </c>
    </row>
    <row r="77" spans="1:14" ht="12.75">
      <c r="A77" s="10" t="s">
        <v>75</v>
      </c>
      <c r="B77" s="1" t="s">
        <v>76</v>
      </c>
      <c r="C77" s="1" t="s">
        <v>77</v>
      </c>
      <c r="D77" s="1" t="s">
        <v>78</v>
      </c>
      <c r="E77" s="3" t="s">
        <v>79</v>
      </c>
      <c r="F77" s="16">
        <v>0.39</v>
      </c>
      <c r="G77" s="18">
        <f>H17</f>
        <v>1</v>
      </c>
      <c r="H77" s="15">
        <f t="shared" si="0"/>
        <v>0.39</v>
      </c>
      <c r="I77" s="18">
        <f>J17</f>
        <v>0</v>
      </c>
      <c r="J77" s="15">
        <f t="shared" si="1"/>
        <v>0</v>
      </c>
      <c r="K77" s="18">
        <f>L17</f>
        <v>0</v>
      </c>
      <c r="L77" s="15">
        <f t="shared" si="2"/>
        <v>0</v>
      </c>
      <c r="M77" s="18">
        <f>N17</f>
        <v>1</v>
      </c>
      <c r="N77" s="15">
        <f t="shared" si="3"/>
        <v>0.39</v>
      </c>
    </row>
    <row r="78" spans="1:14" ht="12.75">
      <c r="A78" s="10" t="s">
        <v>80</v>
      </c>
      <c r="B78" s="1" t="s">
        <v>81</v>
      </c>
      <c r="C78" s="1" t="s">
        <v>71</v>
      </c>
      <c r="D78" s="1" t="s">
        <v>82</v>
      </c>
      <c r="E78" s="2" t="str">
        <f>"*"&amp;B78</f>
        <v>*DS2890P</v>
      </c>
      <c r="F78" s="17"/>
      <c r="G78" s="18">
        <f>H9</f>
        <v>1</v>
      </c>
      <c r="H78" s="15">
        <f t="shared" si="0"/>
        <v>0</v>
      </c>
      <c r="I78" s="18">
        <f>J9</f>
        <v>0</v>
      </c>
      <c r="J78" s="15">
        <f t="shared" si="1"/>
        <v>0</v>
      </c>
      <c r="K78" s="18">
        <f>L9</f>
        <v>0</v>
      </c>
      <c r="L78" s="15">
        <f t="shared" si="2"/>
        <v>0</v>
      </c>
      <c r="M78" s="18">
        <f>N9</f>
        <v>0</v>
      </c>
      <c r="N78" s="15">
        <f t="shared" si="3"/>
        <v>0</v>
      </c>
    </row>
    <row r="79" spans="1:14" ht="12.75">
      <c r="A79" s="10" t="s">
        <v>83</v>
      </c>
      <c r="B79" s="1" t="s">
        <v>81</v>
      </c>
      <c r="C79" s="1" t="s">
        <v>71</v>
      </c>
      <c r="D79" s="1" t="s">
        <v>84</v>
      </c>
      <c r="E79" s="2" t="str">
        <f>"*"&amp;B79</f>
        <v>*DS2890P</v>
      </c>
      <c r="F79" s="17"/>
      <c r="G79" s="18">
        <f>IF(H27+H28&gt;0,1,0)</f>
        <v>0</v>
      </c>
      <c r="H79" s="15">
        <f t="shared" si="0"/>
        <v>0</v>
      </c>
      <c r="I79" s="18">
        <f>IF(J27+J28&gt;0,1,0)</f>
        <v>1</v>
      </c>
      <c r="J79" s="15">
        <f t="shared" si="1"/>
        <v>0</v>
      </c>
      <c r="K79" s="18">
        <f>IF(L27+L28&gt;0,1,0)</f>
        <v>0</v>
      </c>
      <c r="L79" s="15">
        <f t="shared" si="2"/>
        <v>0</v>
      </c>
      <c r="M79" s="18">
        <f>IF(N27+N28&gt;0,1,0)</f>
        <v>0</v>
      </c>
      <c r="N79" s="15">
        <f t="shared" si="3"/>
        <v>0</v>
      </c>
    </row>
    <row r="80" spans="1:14" ht="12.75">
      <c r="A80" s="10" t="s">
        <v>85</v>
      </c>
      <c r="B80" s="1" t="s">
        <v>86</v>
      </c>
      <c r="C80" s="1" t="s">
        <v>87</v>
      </c>
      <c r="D80" s="1" t="s">
        <v>88</v>
      </c>
      <c r="E80" s="2" t="str">
        <f>"*"&amp;B80</f>
        <v>*MPX4115A</v>
      </c>
      <c r="F80" s="16"/>
      <c r="G80" s="18">
        <f>G53</f>
        <v>1</v>
      </c>
      <c r="H80" s="15">
        <f t="shared" si="0"/>
        <v>0</v>
      </c>
      <c r="I80" s="18">
        <f>I53</f>
        <v>0</v>
      </c>
      <c r="J80" s="15">
        <f t="shared" si="1"/>
        <v>0</v>
      </c>
      <c r="K80" s="18">
        <f>K53</f>
        <v>0</v>
      </c>
      <c r="L80" s="15">
        <f t="shared" si="2"/>
        <v>0</v>
      </c>
      <c r="M80" s="18">
        <f>M53</f>
        <v>1</v>
      </c>
      <c r="N80" s="15">
        <f t="shared" si="3"/>
        <v>0</v>
      </c>
    </row>
    <row r="81" spans="1:14" ht="12.75">
      <c r="A81" s="10" t="s">
        <v>89</v>
      </c>
      <c r="B81" s="1" t="s">
        <v>90</v>
      </c>
      <c r="C81" s="1" t="s">
        <v>67</v>
      </c>
      <c r="D81" s="1" t="s">
        <v>91</v>
      </c>
      <c r="E81" s="3" t="s">
        <v>92</v>
      </c>
      <c r="F81" s="16">
        <v>1.28</v>
      </c>
      <c r="G81" s="18">
        <f>H27</f>
        <v>0</v>
      </c>
      <c r="H81" s="15">
        <f t="shared" si="0"/>
        <v>0</v>
      </c>
      <c r="I81" s="18">
        <f>J27</f>
        <v>1</v>
      </c>
      <c r="J81" s="15">
        <f t="shared" si="1"/>
        <v>1.28</v>
      </c>
      <c r="K81" s="18">
        <f>L27</f>
        <v>0</v>
      </c>
      <c r="L81" s="15">
        <f t="shared" si="2"/>
        <v>0</v>
      </c>
      <c r="M81" s="18">
        <f>N27</f>
        <v>0</v>
      </c>
      <c r="N81" s="15">
        <f t="shared" si="3"/>
        <v>0</v>
      </c>
    </row>
    <row r="82" spans="1:14" ht="12.75">
      <c r="A82" s="10" t="s">
        <v>93</v>
      </c>
      <c r="B82" s="1" t="s">
        <v>66</v>
      </c>
      <c r="C82" s="1" t="s">
        <v>67</v>
      </c>
      <c r="D82" s="1" t="s">
        <v>94</v>
      </c>
      <c r="E82" s="2" t="str">
        <f>"*"&amp;B82</f>
        <v>*DS2438Z</v>
      </c>
      <c r="F82" s="17"/>
      <c r="G82" s="18">
        <f>G80</f>
        <v>1</v>
      </c>
      <c r="H82" s="15">
        <f t="shared" si="0"/>
        <v>0</v>
      </c>
      <c r="I82" s="18">
        <f>I80</f>
        <v>0</v>
      </c>
      <c r="J82" s="15">
        <f t="shared" si="1"/>
        <v>0</v>
      </c>
      <c r="K82" s="18">
        <f>K80</f>
        <v>0</v>
      </c>
      <c r="L82" s="15">
        <f t="shared" si="2"/>
        <v>0</v>
      </c>
      <c r="M82" s="18">
        <f>M80</f>
        <v>1</v>
      </c>
      <c r="N82" s="15">
        <f t="shared" si="3"/>
        <v>0</v>
      </c>
    </row>
    <row r="83" spans="1:14" ht="12.75">
      <c r="A83" s="10" t="s">
        <v>95</v>
      </c>
      <c r="B83" s="1" t="s">
        <v>96</v>
      </c>
      <c r="C83" s="1" t="s">
        <v>71</v>
      </c>
      <c r="D83" s="1" t="s">
        <v>97</v>
      </c>
      <c r="E83" s="2" t="str">
        <f>"*"&amp;B83</f>
        <v>*DS2409P</v>
      </c>
      <c r="F83" s="16"/>
      <c r="G83" s="18">
        <f>IF(H35+H24&gt;0,1,0)</f>
        <v>0</v>
      </c>
      <c r="H83" s="15">
        <f t="shared" si="0"/>
        <v>0</v>
      </c>
      <c r="I83" s="18">
        <f>IF(J35+J24&gt;0,1,0)</f>
        <v>0</v>
      </c>
      <c r="J83" s="15">
        <f t="shared" si="1"/>
        <v>0</v>
      </c>
      <c r="K83" s="18">
        <f>IF(L35+L24&gt;0,1,0)</f>
        <v>0</v>
      </c>
      <c r="L83" s="15">
        <f t="shared" si="2"/>
        <v>0</v>
      </c>
      <c r="M83" s="18">
        <f>IF(N35+N24&gt;0,1,0)</f>
        <v>1</v>
      </c>
      <c r="N83" s="15">
        <f t="shared" si="3"/>
        <v>0</v>
      </c>
    </row>
    <row r="84" spans="1:14" ht="12.75">
      <c r="A84" s="10" t="s">
        <v>98</v>
      </c>
      <c r="B84" s="1"/>
      <c r="C84" s="1" t="s">
        <v>99</v>
      </c>
      <c r="D84" s="1" t="s">
        <v>100</v>
      </c>
      <c r="E84" s="3" t="s">
        <v>101</v>
      </c>
      <c r="F84" s="16">
        <v>0.71</v>
      </c>
      <c r="G84" s="18">
        <f>H44</f>
        <v>1</v>
      </c>
      <c r="H84" s="15">
        <f aca="true" t="shared" si="4" ref="H84:H114">$F84*G84</f>
        <v>0.71</v>
      </c>
      <c r="I84" s="18">
        <f>J44</f>
        <v>0</v>
      </c>
      <c r="J84" s="15">
        <f aca="true" t="shared" si="5" ref="J84:J114">$F84*I84</f>
        <v>0</v>
      </c>
      <c r="K84" s="18">
        <f>L44</f>
        <v>0</v>
      </c>
      <c r="L84" s="15">
        <f t="shared" si="2"/>
        <v>0</v>
      </c>
      <c r="M84" s="18">
        <f>N44</f>
        <v>1</v>
      </c>
      <c r="N84" s="15">
        <f t="shared" si="3"/>
        <v>0.71</v>
      </c>
    </row>
    <row r="85" spans="1:14" ht="14.25" customHeight="1">
      <c r="A85" s="10" t="s">
        <v>102</v>
      </c>
      <c r="B85" s="1" t="s">
        <v>103</v>
      </c>
      <c r="C85" s="1" t="s">
        <v>104</v>
      </c>
      <c r="D85" s="1" t="s">
        <v>15</v>
      </c>
      <c r="E85" s="3" t="s">
        <v>105</v>
      </c>
      <c r="F85" s="16">
        <v>0.45</v>
      </c>
      <c r="G85" s="18">
        <f>H6</f>
        <v>0</v>
      </c>
      <c r="H85" s="15">
        <f t="shared" si="4"/>
        <v>0</v>
      </c>
      <c r="I85" s="18">
        <f>J6</f>
        <v>0</v>
      </c>
      <c r="J85" s="15">
        <f t="shared" si="5"/>
        <v>0</v>
      </c>
      <c r="K85" s="18">
        <f>L6</f>
        <v>0</v>
      </c>
      <c r="L85" s="15">
        <f t="shared" si="2"/>
        <v>0</v>
      </c>
      <c r="M85" s="18">
        <f>N6</f>
        <v>1</v>
      </c>
      <c r="N85" s="15">
        <f t="shared" si="3"/>
        <v>0.45</v>
      </c>
    </row>
    <row r="86" spans="1:14" ht="12.75">
      <c r="A86" s="10" t="s">
        <v>106</v>
      </c>
      <c r="B86" s="1" t="s">
        <v>107</v>
      </c>
      <c r="C86" s="1" t="s">
        <v>108</v>
      </c>
      <c r="D86" s="1" t="s">
        <v>109</v>
      </c>
      <c r="E86" s="3" t="s">
        <v>110</v>
      </c>
      <c r="F86" s="16">
        <v>1.4</v>
      </c>
      <c r="G86" s="18">
        <f>H45</f>
        <v>0</v>
      </c>
      <c r="H86" s="15">
        <f t="shared" si="4"/>
        <v>0</v>
      </c>
      <c r="I86" s="18">
        <f>J45</f>
        <v>1</v>
      </c>
      <c r="J86" s="15">
        <f t="shared" si="5"/>
        <v>1.4</v>
      </c>
      <c r="K86" s="18">
        <f>L45</f>
        <v>1</v>
      </c>
      <c r="L86" s="15">
        <f aca="true" t="shared" si="6" ref="L86:L114">$F86*K86</f>
        <v>1.4</v>
      </c>
      <c r="M86" s="18">
        <f>N45</f>
        <v>0</v>
      </c>
      <c r="N86" s="15">
        <f aca="true" t="shared" si="7" ref="N86:N114">$F86*M86</f>
        <v>0</v>
      </c>
    </row>
    <row r="87" spans="1:14" ht="12.75">
      <c r="A87" s="10" t="s">
        <v>111</v>
      </c>
      <c r="B87" s="1" t="s">
        <v>107</v>
      </c>
      <c r="C87" s="1" t="s">
        <v>112</v>
      </c>
      <c r="D87" s="1" t="s">
        <v>113</v>
      </c>
      <c r="E87" s="3" t="s">
        <v>110</v>
      </c>
      <c r="F87" s="16">
        <v>1.4</v>
      </c>
      <c r="G87" s="18">
        <f>IF(H13+H17+H20+H27+H28&gt;0,1,0)</f>
        <v>1</v>
      </c>
      <c r="H87" s="15">
        <f t="shared" si="4"/>
        <v>1.4</v>
      </c>
      <c r="I87" s="18">
        <f>IF(J13+J17+J20+J27+J28&gt;0,1,0)</f>
        <v>1</v>
      </c>
      <c r="J87" s="15">
        <f t="shared" si="5"/>
        <v>1.4</v>
      </c>
      <c r="K87" s="18">
        <f>IF(L13+L17+L20+L27+L28&gt;0,1,0)</f>
        <v>1</v>
      </c>
      <c r="L87" s="15">
        <f t="shared" si="6"/>
        <v>1.4</v>
      </c>
      <c r="M87" s="18">
        <f>IF(N13+N17+N20+N27+N28&gt;0,1,0)</f>
        <v>1</v>
      </c>
      <c r="N87" s="15">
        <f t="shared" si="7"/>
        <v>1.4</v>
      </c>
    </row>
    <row r="88" spans="1:14" ht="12.75">
      <c r="A88" s="10" t="s">
        <v>115</v>
      </c>
      <c r="B88" s="1" t="s">
        <v>116</v>
      </c>
      <c r="C88" s="1" t="s">
        <v>117</v>
      </c>
      <c r="D88" s="1" t="s">
        <v>118</v>
      </c>
      <c r="E88" s="2" t="str">
        <f>"*"&amp;B88</f>
        <v>*DS9094F</v>
      </c>
      <c r="F88" s="16"/>
      <c r="G88" s="18">
        <f>H32</f>
        <v>0</v>
      </c>
      <c r="H88" s="15">
        <f t="shared" si="4"/>
        <v>0</v>
      </c>
      <c r="I88" s="18">
        <f>J32</f>
        <v>0</v>
      </c>
      <c r="J88" s="15">
        <f t="shared" si="5"/>
        <v>0</v>
      </c>
      <c r="K88" s="18">
        <f>L32</f>
        <v>0</v>
      </c>
      <c r="L88" s="15">
        <f t="shared" si="6"/>
        <v>0</v>
      </c>
      <c r="M88" s="18">
        <f>N32</f>
        <v>1</v>
      </c>
      <c r="N88" s="15">
        <f t="shared" si="7"/>
        <v>0</v>
      </c>
    </row>
    <row r="89" spans="1:14" ht="12.75">
      <c r="A89" s="10" t="s">
        <v>119</v>
      </c>
      <c r="B89" s="1" t="s">
        <v>120</v>
      </c>
      <c r="C89" s="1" t="s">
        <v>121</v>
      </c>
      <c r="D89" s="1" t="s">
        <v>122</v>
      </c>
      <c r="E89" s="3" t="s">
        <v>123</v>
      </c>
      <c r="F89" s="16">
        <v>0.6</v>
      </c>
      <c r="G89" s="18">
        <f>H24</f>
        <v>0</v>
      </c>
      <c r="H89" s="15">
        <f t="shared" si="4"/>
        <v>0</v>
      </c>
      <c r="I89" s="18">
        <f>J24</f>
        <v>0</v>
      </c>
      <c r="J89" s="15">
        <f t="shared" si="5"/>
        <v>0</v>
      </c>
      <c r="K89" s="18">
        <f>L24</f>
        <v>0</v>
      </c>
      <c r="L89" s="15">
        <f t="shared" si="6"/>
        <v>0</v>
      </c>
      <c r="M89" s="18">
        <f>N24</f>
        <v>1</v>
      </c>
      <c r="N89" s="15">
        <f t="shared" si="7"/>
        <v>0.6</v>
      </c>
    </row>
    <row r="90" spans="1:14" ht="12.75">
      <c r="A90" s="10" t="s">
        <v>243</v>
      </c>
      <c r="B90" s="1" t="s">
        <v>244</v>
      </c>
      <c r="C90" s="1" t="s">
        <v>121</v>
      </c>
      <c r="D90" s="1" t="s">
        <v>245</v>
      </c>
      <c r="E90" s="3" t="s">
        <v>246</v>
      </c>
      <c r="F90" s="16">
        <v>0.2</v>
      </c>
      <c r="G90" s="18">
        <f>G77</f>
        <v>1</v>
      </c>
      <c r="H90" s="15">
        <f t="shared" si="4"/>
        <v>0.2</v>
      </c>
      <c r="I90" s="18">
        <f>I77</f>
        <v>0</v>
      </c>
      <c r="J90" s="15">
        <f t="shared" si="5"/>
        <v>0</v>
      </c>
      <c r="K90" s="18">
        <f>K77</f>
        <v>0</v>
      </c>
      <c r="L90" s="15">
        <f t="shared" si="6"/>
        <v>0</v>
      </c>
      <c r="M90" s="18">
        <f>M77</f>
        <v>1</v>
      </c>
      <c r="N90" s="15">
        <f t="shared" si="7"/>
        <v>0.2</v>
      </c>
    </row>
    <row r="91" spans="1:14" ht="12.75">
      <c r="A91" s="10" t="s">
        <v>124</v>
      </c>
      <c r="B91" s="5"/>
      <c r="C91" s="1" t="s">
        <v>125</v>
      </c>
      <c r="D91" s="1" t="s">
        <v>126</v>
      </c>
      <c r="E91" s="3" t="s">
        <v>127</v>
      </c>
      <c r="F91" s="16"/>
      <c r="G91" s="18">
        <f>IF(H20+H13,1,0)</f>
        <v>0</v>
      </c>
      <c r="H91" s="15">
        <f t="shared" si="4"/>
        <v>0</v>
      </c>
      <c r="I91" s="18">
        <f>IF(J20+J13,1,0)</f>
        <v>1</v>
      </c>
      <c r="J91" s="15">
        <f t="shared" si="5"/>
        <v>0</v>
      </c>
      <c r="K91" s="18">
        <f>IF(L20+L13,1,0)</f>
        <v>1</v>
      </c>
      <c r="L91" s="15">
        <f t="shared" si="6"/>
        <v>0</v>
      </c>
      <c r="M91" s="18">
        <f>IF(N20+N13,1,0)</f>
        <v>1</v>
      </c>
      <c r="N91" s="15">
        <f t="shared" si="7"/>
        <v>0</v>
      </c>
    </row>
    <row r="92" spans="1:14" ht="12.75">
      <c r="A92" s="10" t="s">
        <v>128</v>
      </c>
      <c r="B92" s="6"/>
      <c r="C92" s="1" t="s">
        <v>125</v>
      </c>
      <c r="D92" s="1" t="s">
        <v>126</v>
      </c>
      <c r="E92" s="3" t="s">
        <v>127</v>
      </c>
      <c r="F92" s="17"/>
      <c r="G92" s="18">
        <f>IF(OR(H17,H13*H20),1,0)</f>
        <v>1</v>
      </c>
      <c r="H92" s="15">
        <f t="shared" si="4"/>
        <v>0</v>
      </c>
      <c r="I92" s="18">
        <f>IF(OR(J17,J13*J20),1,0)</f>
        <v>0</v>
      </c>
      <c r="J92" s="15">
        <f t="shared" si="5"/>
        <v>0</v>
      </c>
      <c r="K92" s="18">
        <f>IF(OR(L17,L13*L20),1,0)</f>
        <v>0</v>
      </c>
      <c r="L92" s="15">
        <f t="shared" si="6"/>
        <v>0</v>
      </c>
      <c r="M92" s="18">
        <f>IF(OR(N17,N13*N20),1,0)</f>
        <v>1</v>
      </c>
      <c r="N92" s="15">
        <f t="shared" si="7"/>
        <v>0</v>
      </c>
    </row>
    <row r="93" spans="1:14" ht="12.75">
      <c r="A93" s="10" t="s">
        <v>125</v>
      </c>
      <c r="B93" s="5"/>
      <c r="C93" s="1" t="s">
        <v>125</v>
      </c>
      <c r="D93" s="1" t="s">
        <v>129</v>
      </c>
      <c r="E93" s="3" t="s">
        <v>127</v>
      </c>
      <c r="F93" s="17">
        <v>2.14</v>
      </c>
      <c r="G93" s="18">
        <f>IF(SUM(H3:H6)&gt;0,1,0)</f>
        <v>1</v>
      </c>
      <c r="H93" s="15">
        <f t="shared" si="4"/>
        <v>2.14</v>
      </c>
      <c r="I93" s="18">
        <f>IF(SUM(J3:J6)&gt;0,1,0)</f>
        <v>1</v>
      </c>
      <c r="J93" s="15">
        <f t="shared" si="5"/>
        <v>2.14</v>
      </c>
      <c r="K93" s="18">
        <f>IF(SUM(L3:L6)&gt;0,1,0)</f>
        <v>1</v>
      </c>
      <c r="L93" s="15">
        <f t="shared" si="6"/>
        <v>2.14</v>
      </c>
      <c r="M93" s="18">
        <f>IF(SUM(N3:N6)&gt;0,1,0)</f>
        <v>1</v>
      </c>
      <c r="N93" s="15">
        <f t="shared" si="7"/>
        <v>2.14</v>
      </c>
    </row>
    <row r="94" spans="1:14" ht="12.75">
      <c r="A94" s="10" t="s">
        <v>130</v>
      </c>
      <c r="B94" s="1"/>
      <c r="C94" s="1" t="s">
        <v>131</v>
      </c>
      <c r="D94" s="1" t="s">
        <v>132</v>
      </c>
      <c r="E94" s="3" t="s">
        <v>127</v>
      </c>
      <c r="F94" s="16"/>
      <c r="G94" s="18">
        <f>1-G83</f>
        <v>1</v>
      </c>
      <c r="H94" s="15">
        <f t="shared" si="4"/>
        <v>0</v>
      </c>
      <c r="I94" s="18">
        <f>1-I83</f>
        <v>1</v>
      </c>
      <c r="J94" s="15">
        <f t="shared" si="5"/>
        <v>0</v>
      </c>
      <c r="K94" s="18">
        <f>1-K83</f>
        <v>1</v>
      </c>
      <c r="L94" s="15">
        <f t="shared" si="6"/>
        <v>0</v>
      </c>
      <c r="M94" s="18">
        <f>1-M83</f>
        <v>0</v>
      </c>
      <c r="N94" s="15">
        <f t="shared" si="7"/>
        <v>0</v>
      </c>
    </row>
    <row r="95" spans="1:14" ht="12.75">
      <c r="A95" s="10" t="s">
        <v>133</v>
      </c>
      <c r="B95" s="1" t="s">
        <v>134</v>
      </c>
      <c r="C95" s="1" t="s">
        <v>135</v>
      </c>
      <c r="D95" s="1" t="s">
        <v>136</v>
      </c>
      <c r="E95" s="3" t="s">
        <v>137</v>
      </c>
      <c r="F95" s="16">
        <v>0.09</v>
      </c>
      <c r="G95" s="18">
        <f>IF(H27+H28&gt;0,1,0)</f>
        <v>0</v>
      </c>
      <c r="H95" s="15">
        <f t="shared" si="4"/>
        <v>0</v>
      </c>
      <c r="I95" s="18">
        <f>IF(J27+J28&gt;0,1,0)</f>
        <v>1</v>
      </c>
      <c r="J95" s="15">
        <f t="shared" si="5"/>
        <v>0.09</v>
      </c>
      <c r="K95" s="18">
        <f>IF(L27+L28&gt;0,1,0)</f>
        <v>0</v>
      </c>
      <c r="L95" s="15">
        <f t="shared" si="6"/>
        <v>0</v>
      </c>
      <c r="M95" s="18">
        <f>IF(N27+N28&gt;0,1,0)</f>
        <v>0</v>
      </c>
      <c r="N95" s="15">
        <f t="shared" si="7"/>
        <v>0</v>
      </c>
    </row>
    <row r="96" spans="1:14" ht="12.75">
      <c r="A96" s="10" t="s">
        <v>138</v>
      </c>
      <c r="B96" s="1">
        <v>330</v>
      </c>
      <c r="C96" s="1" t="s">
        <v>135</v>
      </c>
      <c r="D96" s="1" t="s">
        <v>53</v>
      </c>
      <c r="E96" s="3" t="s">
        <v>139</v>
      </c>
      <c r="F96" s="16">
        <v>0.09</v>
      </c>
      <c r="G96" s="18">
        <f>H38</f>
        <v>1</v>
      </c>
      <c r="H96" s="15">
        <f t="shared" si="4"/>
        <v>0.09</v>
      </c>
      <c r="I96" s="18">
        <f>J38</f>
        <v>0</v>
      </c>
      <c r="J96" s="15">
        <f t="shared" si="5"/>
        <v>0</v>
      </c>
      <c r="K96" s="18">
        <f>L38</f>
        <v>0</v>
      </c>
      <c r="L96" s="15">
        <f t="shared" si="6"/>
        <v>0</v>
      </c>
      <c r="M96" s="18">
        <f>N38</f>
        <v>1</v>
      </c>
      <c r="N96" s="15">
        <f t="shared" si="7"/>
        <v>0.09</v>
      </c>
    </row>
    <row r="97" spans="1:14" ht="12.75">
      <c r="A97" s="10" t="s">
        <v>140</v>
      </c>
      <c r="B97" s="1">
        <v>24</v>
      </c>
      <c r="C97" s="1" t="s">
        <v>135</v>
      </c>
      <c r="D97" s="1" t="s">
        <v>44</v>
      </c>
      <c r="E97" s="3" t="s">
        <v>141</v>
      </c>
      <c r="F97" s="16">
        <v>0.09</v>
      </c>
      <c r="G97" s="18">
        <v>1</v>
      </c>
      <c r="H97" s="15">
        <f t="shared" si="4"/>
        <v>0.09</v>
      </c>
      <c r="I97" s="18">
        <v>1</v>
      </c>
      <c r="J97" s="15">
        <f t="shared" si="5"/>
        <v>0.09</v>
      </c>
      <c r="K97" s="18">
        <v>1</v>
      </c>
      <c r="L97" s="15">
        <f t="shared" si="6"/>
        <v>0.09</v>
      </c>
      <c r="M97" s="18">
        <v>1</v>
      </c>
      <c r="N97" s="15">
        <f t="shared" si="7"/>
        <v>0.09</v>
      </c>
    </row>
    <row r="98" spans="1:14" ht="12.75">
      <c r="A98" s="10" t="s">
        <v>142</v>
      </c>
      <c r="B98" s="1">
        <v>330</v>
      </c>
      <c r="C98" s="1" t="s">
        <v>135</v>
      </c>
      <c r="D98" s="1" t="s">
        <v>143</v>
      </c>
      <c r="E98" s="3" t="s">
        <v>139</v>
      </c>
      <c r="F98" s="16">
        <v>0.09</v>
      </c>
      <c r="G98" s="18">
        <f>H17</f>
        <v>1</v>
      </c>
      <c r="H98" s="15">
        <f t="shared" si="4"/>
        <v>0.09</v>
      </c>
      <c r="I98" s="18">
        <f>J17</f>
        <v>0</v>
      </c>
      <c r="J98" s="15">
        <f t="shared" si="5"/>
        <v>0</v>
      </c>
      <c r="K98" s="18">
        <f>L17</f>
        <v>0</v>
      </c>
      <c r="L98" s="15">
        <f t="shared" si="6"/>
        <v>0</v>
      </c>
      <c r="M98" s="18">
        <f>N17</f>
        <v>1</v>
      </c>
      <c r="N98" s="15">
        <f t="shared" si="7"/>
        <v>0.09</v>
      </c>
    </row>
    <row r="99" spans="1:14" ht="12.75">
      <c r="A99" s="10" t="s">
        <v>144</v>
      </c>
      <c r="B99" s="1">
        <v>24</v>
      </c>
      <c r="C99" s="1" t="s">
        <v>135</v>
      </c>
      <c r="D99" s="1" t="s">
        <v>145</v>
      </c>
      <c r="E99" s="3" t="s">
        <v>141</v>
      </c>
      <c r="F99" s="16">
        <v>0.09</v>
      </c>
      <c r="G99" s="18">
        <f>IF(H27+H28&gt;0,1,0)</f>
        <v>0</v>
      </c>
      <c r="H99" s="15">
        <f t="shared" si="4"/>
        <v>0</v>
      </c>
      <c r="I99" s="18">
        <f>IF(J27+J28&gt;0,1,0)</f>
        <v>1</v>
      </c>
      <c r="J99" s="15">
        <f t="shared" si="5"/>
        <v>0.09</v>
      </c>
      <c r="K99" s="18">
        <f>IF(L27+L28&gt;0,1,0)</f>
        <v>0</v>
      </c>
      <c r="L99" s="15">
        <f t="shared" si="6"/>
        <v>0</v>
      </c>
      <c r="M99" s="18">
        <f>IF(N27+N28&gt;0,1,0)</f>
        <v>0</v>
      </c>
      <c r="N99" s="15">
        <f t="shared" si="7"/>
        <v>0</v>
      </c>
    </row>
    <row r="100" spans="1:14" ht="12.75">
      <c r="A100" s="10" t="s">
        <v>146</v>
      </c>
      <c r="B100" s="1" t="s">
        <v>147</v>
      </c>
      <c r="C100" s="1" t="s">
        <v>135</v>
      </c>
      <c r="D100" s="1" t="s">
        <v>148</v>
      </c>
      <c r="E100" s="3" t="s">
        <v>149</v>
      </c>
      <c r="F100" s="16">
        <v>0.09</v>
      </c>
      <c r="G100" s="18">
        <f>G98</f>
        <v>1</v>
      </c>
      <c r="H100" s="15">
        <f t="shared" si="4"/>
        <v>0.09</v>
      </c>
      <c r="I100" s="18">
        <f>I98</f>
        <v>0</v>
      </c>
      <c r="J100" s="15">
        <f t="shared" si="5"/>
        <v>0</v>
      </c>
      <c r="K100" s="18">
        <f>K98</f>
        <v>0</v>
      </c>
      <c r="L100" s="15">
        <f t="shared" si="6"/>
        <v>0</v>
      </c>
      <c r="M100" s="18">
        <f>M98</f>
        <v>1</v>
      </c>
      <c r="N100" s="15">
        <f t="shared" si="7"/>
        <v>0.09</v>
      </c>
    </row>
    <row r="101" spans="1:14" ht="12.75">
      <c r="A101" s="10" t="s">
        <v>150</v>
      </c>
      <c r="B101" s="1" t="s">
        <v>151</v>
      </c>
      <c r="C101" s="1" t="s">
        <v>135</v>
      </c>
      <c r="D101" s="1" t="s">
        <v>152</v>
      </c>
      <c r="E101" s="3" t="s">
        <v>153</v>
      </c>
      <c r="F101" s="16">
        <v>0.09</v>
      </c>
      <c r="G101" s="18">
        <f>H21</f>
        <v>0</v>
      </c>
      <c r="H101" s="15">
        <f t="shared" si="4"/>
        <v>0</v>
      </c>
      <c r="I101" s="18">
        <f>J21</f>
        <v>0</v>
      </c>
      <c r="J101" s="15">
        <f t="shared" si="5"/>
        <v>0</v>
      </c>
      <c r="K101" s="18">
        <f>L21</f>
        <v>1</v>
      </c>
      <c r="L101" s="15">
        <f t="shared" si="6"/>
        <v>0.09</v>
      </c>
      <c r="M101" s="18">
        <f>N21</f>
        <v>1</v>
      </c>
      <c r="N101" s="15">
        <f t="shared" si="7"/>
        <v>0.09</v>
      </c>
    </row>
    <row r="102" spans="1:14" ht="12.75">
      <c r="A102" s="10" t="s">
        <v>154</v>
      </c>
      <c r="B102" s="1" t="s">
        <v>155</v>
      </c>
      <c r="C102" s="1" t="s">
        <v>135</v>
      </c>
      <c r="D102" s="1" t="s">
        <v>24</v>
      </c>
      <c r="E102" s="3" t="s">
        <v>156</v>
      </c>
      <c r="F102" s="16">
        <v>0.09</v>
      </c>
      <c r="G102" s="18">
        <f>H13</f>
        <v>0</v>
      </c>
      <c r="H102" s="15">
        <f t="shared" si="4"/>
        <v>0</v>
      </c>
      <c r="I102" s="18">
        <f>J13</f>
        <v>1</v>
      </c>
      <c r="J102" s="15">
        <f t="shared" si="5"/>
        <v>0.09</v>
      </c>
      <c r="K102" s="18">
        <f>L13</f>
        <v>0</v>
      </c>
      <c r="L102" s="15">
        <f t="shared" si="6"/>
        <v>0</v>
      </c>
      <c r="M102" s="18">
        <f>N13</f>
        <v>0</v>
      </c>
      <c r="N102" s="15">
        <f t="shared" si="7"/>
        <v>0</v>
      </c>
    </row>
    <row r="103" spans="1:14" ht="12.75">
      <c r="A103" s="10" t="s">
        <v>157</v>
      </c>
      <c r="B103" s="1" t="s">
        <v>155</v>
      </c>
      <c r="C103" s="1" t="s">
        <v>135</v>
      </c>
      <c r="D103" s="1" t="s">
        <v>24</v>
      </c>
      <c r="E103" s="3" t="s">
        <v>156</v>
      </c>
      <c r="F103" s="16">
        <v>0.09</v>
      </c>
      <c r="G103" s="18">
        <f>G102</f>
        <v>0</v>
      </c>
      <c r="H103" s="15">
        <f t="shared" si="4"/>
        <v>0</v>
      </c>
      <c r="I103" s="18">
        <f>I102</f>
        <v>1</v>
      </c>
      <c r="J103" s="15">
        <f t="shared" si="5"/>
        <v>0.09</v>
      </c>
      <c r="K103" s="18">
        <f>K102</f>
        <v>0</v>
      </c>
      <c r="L103" s="15">
        <f t="shared" si="6"/>
        <v>0</v>
      </c>
      <c r="M103" s="18">
        <f>M102</f>
        <v>0</v>
      </c>
      <c r="N103" s="15">
        <f t="shared" si="7"/>
        <v>0</v>
      </c>
    </row>
    <row r="104" spans="1:14" ht="12.75">
      <c r="A104" s="10" t="s">
        <v>158</v>
      </c>
      <c r="B104" s="1" t="s">
        <v>159</v>
      </c>
      <c r="C104" s="1" t="s">
        <v>135</v>
      </c>
      <c r="D104" s="1" t="s">
        <v>9</v>
      </c>
      <c r="E104" s="3" t="s">
        <v>160</v>
      </c>
      <c r="F104" s="16">
        <v>0.09</v>
      </c>
      <c r="G104" s="18">
        <f>IF(H9+H10&gt;0,1,0)</f>
        <v>1</v>
      </c>
      <c r="H104" s="15">
        <f t="shared" si="4"/>
        <v>0.09</v>
      </c>
      <c r="I104" s="18">
        <f>IF(J9+J10&gt;0,1,0)</f>
        <v>0</v>
      </c>
      <c r="J104" s="15">
        <f t="shared" si="5"/>
        <v>0</v>
      </c>
      <c r="K104" s="18">
        <f>IF(L9+L10&gt;0,1,0)</f>
        <v>0</v>
      </c>
      <c r="L104" s="15">
        <f t="shared" si="6"/>
        <v>0</v>
      </c>
      <c r="M104" s="18">
        <f>IF(N9+N10&gt;0,1,0)</f>
        <v>1</v>
      </c>
      <c r="N104" s="15">
        <f t="shared" si="7"/>
        <v>0.09</v>
      </c>
    </row>
    <row r="105" spans="1:14" ht="12.75">
      <c r="A105" s="10" t="s">
        <v>161</v>
      </c>
      <c r="B105" s="1" t="s">
        <v>147</v>
      </c>
      <c r="C105" s="1" t="s">
        <v>135</v>
      </c>
      <c r="D105" s="1" t="s">
        <v>162</v>
      </c>
      <c r="E105" s="3" t="s">
        <v>149</v>
      </c>
      <c r="F105" s="16">
        <v>0.09</v>
      </c>
      <c r="G105" s="18">
        <f>H24</f>
        <v>0</v>
      </c>
      <c r="H105" s="15">
        <f t="shared" si="4"/>
        <v>0</v>
      </c>
      <c r="I105" s="18">
        <f>J24</f>
        <v>0</v>
      </c>
      <c r="J105" s="15">
        <f t="shared" si="5"/>
        <v>0</v>
      </c>
      <c r="K105" s="18">
        <f>L24</f>
        <v>0</v>
      </c>
      <c r="L105" s="15">
        <f t="shared" si="6"/>
        <v>0</v>
      </c>
      <c r="M105" s="18">
        <f>N24</f>
        <v>1</v>
      </c>
      <c r="N105" s="15">
        <f t="shared" si="7"/>
        <v>0.09</v>
      </c>
    </row>
    <row r="106" spans="1:14" ht="12.75">
      <c r="A106" s="10" t="s">
        <v>163</v>
      </c>
      <c r="B106" s="1">
        <v>330</v>
      </c>
      <c r="C106" s="1" t="s">
        <v>135</v>
      </c>
      <c r="D106" s="1" t="s">
        <v>164</v>
      </c>
      <c r="E106" s="3" t="s">
        <v>139</v>
      </c>
      <c r="F106" s="16">
        <v>0.09</v>
      </c>
      <c r="G106" s="18">
        <f>G70</f>
        <v>0</v>
      </c>
      <c r="H106" s="15">
        <f t="shared" si="4"/>
        <v>0</v>
      </c>
      <c r="I106" s="18">
        <f>I70</f>
        <v>0</v>
      </c>
      <c r="J106" s="15">
        <f t="shared" si="5"/>
        <v>0</v>
      </c>
      <c r="K106" s="18">
        <f>K70</f>
        <v>0</v>
      </c>
      <c r="L106" s="15">
        <f t="shared" si="6"/>
        <v>0</v>
      </c>
      <c r="M106" s="18">
        <f>M70</f>
        <v>0</v>
      </c>
      <c r="N106" s="15">
        <f t="shared" si="7"/>
        <v>0</v>
      </c>
    </row>
    <row r="107" spans="1:14" ht="15" customHeight="1">
      <c r="A107" s="10" t="s">
        <v>165</v>
      </c>
      <c r="B107" s="1" t="s">
        <v>166</v>
      </c>
      <c r="C107" s="1" t="s">
        <v>167</v>
      </c>
      <c r="D107" s="1" t="s">
        <v>168</v>
      </c>
      <c r="E107" s="3" t="s">
        <v>169</v>
      </c>
      <c r="F107" s="16">
        <v>3.91</v>
      </c>
      <c r="G107" s="18">
        <f>H24</f>
        <v>0</v>
      </c>
      <c r="H107" s="15">
        <f t="shared" si="4"/>
        <v>0</v>
      </c>
      <c r="I107" s="18">
        <f>J24</f>
        <v>0</v>
      </c>
      <c r="J107" s="15">
        <f t="shared" si="5"/>
        <v>0</v>
      </c>
      <c r="K107" s="18">
        <f>L24</f>
        <v>0</v>
      </c>
      <c r="L107" s="15">
        <f t="shared" si="6"/>
        <v>0</v>
      </c>
      <c r="M107" s="18">
        <f>N24</f>
        <v>1</v>
      </c>
      <c r="N107" s="15">
        <f t="shared" si="7"/>
        <v>3.91</v>
      </c>
    </row>
    <row r="108" spans="1:14" ht="12.75">
      <c r="A108" s="10" t="s">
        <v>170</v>
      </c>
      <c r="B108" s="1" t="s">
        <v>171</v>
      </c>
      <c r="C108" s="1" t="s">
        <v>38</v>
      </c>
      <c r="D108" s="1" t="s">
        <v>172</v>
      </c>
      <c r="E108" s="3" t="s">
        <v>173</v>
      </c>
      <c r="F108" s="16">
        <v>0.39</v>
      </c>
      <c r="G108" s="18">
        <f>H28</f>
        <v>0</v>
      </c>
      <c r="H108" s="15">
        <f t="shared" si="4"/>
        <v>0</v>
      </c>
      <c r="I108" s="18">
        <f>J28</f>
        <v>0</v>
      </c>
      <c r="J108" s="15">
        <f t="shared" si="5"/>
        <v>0</v>
      </c>
      <c r="K108" s="18">
        <f>L28</f>
        <v>0</v>
      </c>
      <c r="L108" s="15">
        <f t="shared" si="6"/>
        <v>0</v>
      </c>
      <c r="M108" s="18">
        <f>N28</f>
        <v>0</v>
      </c>
      <c r="N108" s="15">
        <f t="shared" si="7"/>
        <v>0</v>
      </c>
    </row>
    <row r="109" spans="1:14" ht="12.75">
      <c r="A109" s="10" t="s">
        <v>174</v>
      </c>
      <c r="B109" s="1" t="s">
        <v>175</v>
      </c>
      <c r="C109" s="1" t="s">
        <v>38</v>
      </c>
      <c r="D109" s="1" t="s">
        <v>162</v>
      </c>
      <c r="E109" s="3" t="s">
        <v>176</v>
      </c>
      <c r="F109" s="16">
        <v>0.36</v>
      </c>
      <c r="G109" s="18">
        <f>G107</f>
        <v>0</v>
      </c>
      <c r="H109" s="15">
        <f t="shared" si="4"/>
        <v>0</v>
      </c>
      <c r="I109" s="18">
        <f>I107</f>
        <v>0</v>
      </c>
      <c r="J109" s="15">
        <f t="shared" si="5"/>
        <v>0</v>
      </c>
      <c r="K109" s="18">
        <f>K107</f>
        <v>0</v>
      </c>
      <c r="L109" s="15">
        <f t="shared" si="6"/>
        <v>0</v>
      </c>
      <c r="M109" s="18">
        <f>M107</f>
        <v>1</v>
      </c>
      <c r="N109" s="15">
        <f t="shared" si="7"/>
        <v>0.36</v>
      </c>
    </row>
    <row r="110" spans="1:14" ht="12.75">
      <c r="A110" s="10" t="s">
        <v>177</v>
      </c>
      <c r="B110" s="1" t="s">
        <v>159</v>
      </c>
      <c r="C110" s="1" t="s">
        <v>178</v>
      </c>
      <c r="D110" s="1" t="s">
        <v>82</v>
      </c>
      <c r="E110" s="3" t="s">
        <v>179</v>
      </c>
      <c r="F110" s="16">
        <v>1.43</v>
      </c>
      <c r="G110" s="18">
        <f>H10</f>
        <v>0</v>
      </c>
      <c r="H110" s="15">
        <f t="shared" si="4"/>
        <v>0</v>
      </c>
      <c r="I110" s="18">
        <f>J10</f>
        <v>0</v>
      </c>
      <c r="J110" s="15">
        <f t="shared" si="5"/>
        <v>0</v>
      </c>
      <c r="K110" s="18">
        <f>L10</f>
        <v>0</v>
      </c>
      <c r="L110" s="15">
        <f t="shared" si="6"/>
        <v>0</v>
      </c>
      <c r="M110" s="18">
        <f>N10</f>
        <v>1</v>
      </c>
      <c r="N110" s="15">
        <f t="shared" si="7"/>
        <v>1.43</v>
      </c>
    </row>
    <row r="111" spans="1:14" ht="12.75">
      <c r="A111" s="21"/>
      <c r="B111" s="22"/>
      <c r="C111" s="5"/>
      <c r="D111" s="1" t="s">
        <v>242</v>
      </c>
      <c r="E111" s="3" t="s">
        <v>241</v>
      </c>
      <c r="F111" s="16">
        <v>5.55</v>
      </c>
      <c r="G111" s="18">
        <f>G85</f>
        <v>0</v>
      </c>
      <c r="H111" s="15">
        <f t="shared" si="4"/>
        <v>0</v>
      </c>
      <c r="I111" s="18">
        <f>I85</f>
        <v>0</v>
      </c>
      <c r="J111" s="15">
        <f t="shared" si="5"/>
        <v>0</v>
      </c>
      <c r="K111" s="18">
        <f>K85</f>
        <v>0</v>
      </c>
      <c r="L111" s="15">
        <f>$F111*K111</f>
        <v>0</v>
      </c>
      <c r="M111" s="18">
        <f>M85</f>
        <v>1</v>
      </c>
      <c r="N111" s="15">
        <f>$F111*M111</f>
        <v>5.55</v>
      </c>
    </row>
    <row r="112" spans="1:14" ht="12.75">
      <c r="A112" s="11"/>
      <c r="B112" s="2"/>
      <c r="C112" s="6"/>
      <c r="D112" s="1" t="s">
        <v>180</v>
      </c>
      <c r="E112" s="3" t="s">
        <v>181</v>
      </c>
      <c r="F112" s="16">
        <v>4.96</v>
      </c>
      <c r="G112" s="18">
        <f>H48</f>
        <v>1</v>
      </c>
      <c r="H112" s="15">
        <f t="shared" si="4"/>
        <v>4.96</v>
      </c>
      <c r="I112" s="18">
        <f>J48</f>
        <v>1</v>
      </c>
      <c r="J112" s="15">
        <f t="shared" si="5"/>
        <v>4.96</v>
      </c>
      <c r="K112" s="18">
        <f>L48</f>
        <v>1</v>
      </c>
      <c r="L112" s="15">
        <f t="shared" si="6"/>
        <v>4.96</v>
      </c>
      <c r="M112" s="18">
        <f>N48</f>
        <v>1</v>
      </c>
      <c r="N112" s="15">
        <f t="shared" si="7"/>
        <v>4.96</v>
      </c>
    </row>
    <row r="113" spans="1:14" ht="12.75">
      <c r="A113" s="11"/>
      <c r="B113" s="4"/>
      <c r="C113" s="6"/>
      <c r="D113" s="1" t="s">
        <v>240</v>
      </c>
      <c r="E113" s="3" t="s">
        <v>182</v>
      </c>
      <c r="F113" s="16">
        <v>0.12</v>
      </c>
      <c r="G113" s="18">
        <f>IF(SUM(H3:H6)&gt;0,1+G94+G91+G92,0)</f>
        <v>3</v>
      </c>
      <c r="H113" s="15">
        <f t="shared" si="4"/>
        <v>0.36</v>
      </c>
      <c r="I113" s="18">
        <f>IF(SUM(J3:J6)&gt;0,1+I94+I91+I92,0)</f>
        <v>3</v>
      </c>
      <c r="J113" s="15">
        <f t="shared" si="5"/>
        <v>0.36</v>
      </c>
      <c r="K113" s="18">
        <f>IF(SUM(L3:L6)&gt;0,1+K94+K91+K92,0)</f>
        <v>3</v>
      </c>
      <c r="L113" s="15">
        <f t="shared" si="6"/>
        <v>0.36</v>
      </c>
      <c r="M113" s="18">
        <f>IF(SUM(N3:N6)&gt;0,1+M94+M91+M92,0)</f>
        <v>3</v>
      </c>
      <c r="N113" s="15">
        <f t="shared" si="7"/>
        <v>0.36</v>
      </c>
    </row>
    <row r="114" spans="1:14" ht="26.25">
      <c r="A114" s="12"/>
      <c r="B114" s="1" t="s">
        <v>183</v>
      </c>
      <c r="C114" s="3"/>
      <c r="D114" s="1" t="s">
        <v>184</v>
      </c>
      <c r="E114" s="3" t="s">
        <v>185</v>
      </c>
      <c r="F114" s="16">
        <v>0.18</v>
      </c>
      <c r="G114" s="18">
        <f>5*H14*H13</f>
        <v>0</v>
      </c>
      <c r="H114" s="15">
        <f t="shared" si="4"/>
        <v>0</v>
      </c>
      <c r="I114" s="18">
        <f>5*J14*J13</f>
        <v>30</v>
      </c>
      <c r="J114" s="15">
        <f t="shared" si="5"/>
        <v>5.3999999999999995</v>
      </c>
      <c r="K114" s="18">
        <f>5*L14*L13</f>
        <v>0</v>
      </c>
      <c r="L114" s="15">
        <f t="shared" si="6"/>
        <v>0</v>
      </c>
      <c r="M114" s="18">
        <f>5*N14*N13</f>
        <v>0</v>
      </c>
      <c r="N114" s="15">
        <f t="shared" si="7"/>
        <v>0</v>
      </c>
    </row>
    <row r="115" spans="6:16" ht="12.75">
      <c r="F115" t="s">
        <v>228</v>
      </c>
      <c r="G115" s="18">
        <f aca="true" t="shared" si="8" ref="G115:N115">SUM(G52:G114)</f>
        <v>31</v>
      </c>
      <c r="H115" s="15">
        <f t="shared" si="8"/>
        <v>13.439999999999998</v>
      </c>
      <c r="I115" s="18">
        <f t="shared" si="8"/>
        <v>62</v>
      </c>
      <c r="J115" s="15">
        <f t="shared" si="8"/>
        <v>22.599999999999998</v>
      </c>
      <c r="K115" s="18">
        <f t="shared" si="8"/>
        <v>21</v>
      </c>
      <c r="L115" s="15">
        <f t="shared" si="8"/>
        <v>13.96</v>
      </c>
      <c r="M115" s="18">
        <f t="shared" si="8"/>
        <v>45</v>
      </c>
      <c r="N115" s="15">
        <f t="shared" si="8"/>
        <v>27.94</v>
      </c>
      <c r="O115" s="18">
        <f>G115+I115+K115+M115</f>
        <v>159</v>
      </c>
      <c r="P115" s="23">
        <f>H115+J115+L115+N115</f>
        <v>77.94</v>
      </c>
    </row>
    <row r="116" ht="12.75">
      <c r="F116" t="s">
        <v>207</v>
      </c>
    </row>
    <row r="117" spans="4:6" ht="12.75">
      <c r="D117" t="str">
        <f aca="true" t="shared" si="9" ref="D117:D156">INDEX(D$52:D$114,MATCH(E117,E$52:E$114,0),1)</f>
        <v>power-on led</v>
      </c>
      <c r="E117" s="3" t="s">
        <v>54</v>
      </c>
      <c r="F117">
        <f>SUMIF(E$52:E$114,E117,G$52:G$114)+SUMIF(E$52:E$114,E117,I$52:I$114)+SUMIF(E$52:E$114,E117,K$52:K$114)+SUMIF(E$52:E$114,E117,M$52:M$114)</f>
        <v>2</v>
      </c>
    </row>
    <row r="118" spans="4:6" ht="12.75">
      <c r="D118" t="e">
        <f t="shared" si="9"/>
        <v>#N/A</v>
      </c>
      <c r="E118" s="3" t="s">
        <v>58</v>
      </c>
      <c r="F118">
        <f aca="true" t="shared" si="10" ref="F118:F158">SUMIF(E$52:E$114,E118,G$52:G$114)+SUMIF(E$52:E$114,E118,I$52:I$114)+SUMIF(E$52:E$114,E118,K$52:K$114)+SUMIF(E$52:E$114,E118,M$52:M$114)</f>
        <v>0</v>
      </c>
    </row>
    <row r="119" spans="4:6" ht="12.75">
      <c r="D119" t="str">
        <f t="shared" si="9"/>
        <v>current source</v>
      </c>
      <c r="E119" s="3" t="s">
        <v>92</v>
      </c>
      <c r="F119">
        <f t="shared" si="10"/>
        <v>1</v>
      </c>
    </row>
    <row r="120" spans="4:6" ht="12.75">
      <c r="D120" t="str">
        <f t="shared" si="9"/>
        <v>current source range setting</v>
      </c>
      <c r="E120" s="3" t="s">
        <v>137</v>
      </c>
      <c r="F120">
        <f t="shared" si="10"/>
        <v>1</v>
      </c>
    </row>
    <row r="121" spans="4:6" ht="12.75">
      <c r="D121" t="str">
        <f t="shared" si="9"/>
        <v>BP sensor low pass filter</v>
      </c>
      <c r="E121" s="3" t="s">
        <v>160</v>
      </c>
      <c r="F121">
        <f t="shared" si="10"/>
        <v>2</v>
      </c>
    </row>
    <row r="122" spans="4:6" ht="12.75">
      <c r="D122" t="str">
        <f t="shared" si="9"/>
        <v>lightning counter pullup</v>
      </c>
      <c r="E122" s="3" t="s">
        <v>149</v>
      </c>
      <c r="F122">
        <f t="shared" si="10"/>
        <v>3</v>
      </c>
    </row>
    <row r="123" spans="4:6" ht="12.75">
      <c r="D123" t="str">
        <f t="shared" si="9"/>
        <v>Unreg power supply</v>
      </c>
      <c r="E123" s="3" t="s">
        <v>16</v>
      </c>
      <c r="F123">
        <f t="shared" si="10"/>
        <v>6</v>
      </c>
    </row>
    <row r="124" spans="4:6" ht="12.75">
      <c r="D124" t="str">
        <f t="shared" si="9"/>
        <v>counter decoupling</v>
      </c>
      <c r="E124" s="3" t="s">
        <v>20</v>
      </c>
      <c r="F124">
        <f t="shared" si="10"/>
        <v>8</v>
      </c>
    </row>
    <row r="125" spans="4:6" ht="12.75">
      <c r="D125" t="str">
        <f t="shared" si="9"/>
        <v>BP sensor low pass filter</v>
      </c>
      <c r="E125" s="3" t="s">
        <v>10</v>
      </c>
      <c r="F125">
        <f t="shared" si="10"/>
        <v>4</v>
      </c>
    </row>
    <row r="126" spans="4:6" ht="12.75">
      <c r="D126" t="str">
        <f t="shared" si="9"/>
        <v>external counter input pullup</v>
      </c>
      <c r="E126" s="3" t="s">
        <v>153</v>
      </c>
      <c r="F126">
        <f t="shared" si="10"/>
        <v>2</v>
      </c>
    </row>
    <row r="127" spans="4:6" ht="12.75">
      <c r="D127" t="str">
        <f t="shared" si="9"/>
        <v>1-wire surge suppression</v>
      </c>
      <c r="E127" s="3" t="s">
        <v>141</v>
      </c>
      <c r="F127">
        <f t="shared" si="10"/>
        <v>5</v>
      </c>
    </row>
    <row r="128" spans="4:6" ht="12.75">
      <c r="D128" t="str">
        <f t="shared" si="9"/>
        <v>power-on led</v>
      </c>
      <c r="E128" s="4" t="s">
        <v>139</v>
      </c>
      <c r="F128">
        <f t="shared" si="10"/>
        <v>4</v>
      </c>
    </row>
    <row r="129" spans="4:6" ht="12.75">
      <c r="D129" t="str">
        <f t="shared" si="9"/>
        <v>water depth frequency selection</v>
      </c>
      <c r="E129" s="19" t="s">
        <v>156</v>
      </c>
      <c r="F129">
        <f t="shared" si="10"/>
        <v>2</v>
      </c>
    </row>
    <row r="130" spans="4:6" ht="12.75">
      <c r="D130" t="str">
        <f t="shared" si="9"/>
        <v>lightning counter isolater</v>
      </c>
      <c r="E130" s="4" t="s">
        <v>79</v>
      </c>
      <c r="F130">
        <f t="shared" si="10"/>
        <v>2</v>
      </c>
    </row>
    <row r="131" spans="4:6" ht="12.75">
      <c r="D131" t="str">
        <f t="shared" si="9"/>
        <v>RJ-45 for 1-wire</v>
      </c>
      <c r="E131" s="3" t="s">
        <v>101</v>
      </c>
      <c r="F131">
        <f t="shared" si="10"/>
        <v>2</v>
      </c>
    </row>
    <row r="132" spans="4:6" ht="12.75">
      <c r="D132" t="str">
        <f t="shared" si="9"/>
        <v>water depth protection</v>
      </c>
      <c r="E132" s="19" t="s">
        <v>40</v>
      </c>
      <c r="F132">
        <f t="shared" si="10"/>
        <v>5</v>
      </c>
    </row>
    <row r="133" spans="4:6" ht="12.75">
      <c r="D133" t="str">
        <f t="shared" si="9"/>
        <v>Water depth sensor -- is 30 capacitors in series (for 6 inches)</v>
      </c>
      <c r="E133" s="3" t="s">
        <v>185</v>
      </c>
      <c r="F133">
        <f t="shared" si="10"/>
        <v>30</v>
      </c>
    </row>
    <row r="134" spans="4:6" ht="12.75">
      <c r="D134" t="str">
        <f t="shared" si="9"/>
        <v>relay driver</v>
      </c>
      <c r="E134" s="3" t="s">
        <v>176</v>
      </c>
      <c r="F134">
        <f t="shared" si="10"/>
        <v>1</v>
      </c>
    </row>
    <row r="135" spans="4:6" ht="12.75">
      <c r="D135" t="str">
        <f t="shared" si="9"/>
        <v>Unreg power supply</v>
      </c>
      <c r="E135" s="3" t="s">
        <v>105</v>
      </c>
      <c r="F135">
        <f t="shared" si="10"/>
        <v>1</v>
      </c>
    </row>
    <row r="136" spans="4:6" ht="12.75">
      <c r="D136" t="str">
        <f t="shared" si="9"/>
        <v>BP midpoint adjust</v>
      </c>
      <c r="E136" s="3" t="s">
        <v>179</v>
      </c>
      <c r="F136">
        <f t="shared" si="10"/>
        <v>1</v>
      </c>
    </row>
    <row r="137" spans="4:6" ht="12.75">
      <c r="D137" t="str">
        <f t="shared" si="9"/>
        <v>relay back-emf prevention</v>
      </c>
      <c r="E137" s="3" t="s">
        <v>238</v>
      </c>
      <c r="F137">
        <f t="shared" si="10"/>
        <v>9</v>
      </c>
    </row>
    <row r="138" spans="4:6" ht="12.75">
      <c r="D138" t="str">
        <f t="shared" si="9"/>
        <v>lightning sensor input</v>
      </c>
      <c r="E138" s="4" t="s">
        <v>246</v>
      </c>
      <c r="F138">
        <f>SUMIF(E$52:E$114,E138,G$52:G$114)+SUMIF(E$52:E$114,E138,I$52:I$114)+SUMIF(E$52:E$114,E138,K$52:K$114)+SUMIF(E$52:E$114,E138,M$52:M$114)</f>
        <v>2</v>
      </c>
    </row>
    <row r="139" spans="4:6" ht="12.75">
      <c r="D139" t="str">
        <f t="shared" si="9"/>
        <v>power control output</v>
      </c>
      <c r="E139" s="4" t="s">
        <v>123</v>
      </c>
      <c r="F139">
        <f t="shared" si="10"/>
        <v>1</v>
      </c>
    </row>
    <row r="140" spans="4:6" ht="12.75">
      <c r="D140" t="str">
        <f t="shared" si="9"/>
        <v>screw for 1-wire in &amp; out</v>
      </c>
      <c r="E140" s="3" t="s">
        <v>110</v>
      </c>
      <c r="F140">
        <f t="shared" si="10"/>
        <v>6</v>
      </c>
    </row>
    <row r="141" spans="4:6" ht="12.75">
      <c r="D141" t="e">
        <f t="shared" si="9"/>
        <v>#N/A</v>
      </c>
      <c r="E141" s="3" t="s">
        <v>114</v>
      </c>
      <c r="F141">
        <f t="shared" si="10"/>
        <v>0</v>
      </c>
    </row>
    <row r="142" spans="4:6" ht="12.75">
      <c r="D142" t="str">
        <f t="shared" si="9"/>
        <v>turns current source into voltage source</v>
      </c>
      <c r="E142" s="3" t="s">
        <v>173</v>
      </c>
      <c r="F142">
        <f t="shared" si="10"/>
        <v>0</v>
      </c>
    </row>
    <row r="143" spans="4:6" ht="12.75">
      <c r="D143" t="str">
        <f t="shared" si="9"/>
        <v>Case</v>
      </c>
      <c r="E143" s="3" t="s">
        <v>181</v>
      </c>
      <c r="F143">
        <f t="shared" si="10"/>
        <v>4</v>
      </c>
    </row>
    <row r="144" spans="4:6" ht="12.75">
      <c r="D144" t="str">
        <f t="shared" si="9"/>
        <v>Unreg power supply</v>
      </c>
      <c r="E144" s="3" t="s">
        <v>64</v>
      </c>
      <c r="F144">
        <f t="shared" si="10"/>
        <v>3</v>
      </c>
    </row>
    <row r="145" spans="4:6" ht="12.75">
      <c r="D145" t="str">
        <f t="shared" si="9"/>
        <v>water depth oscillator</v>
      </c>
      <c r="E145" s="3" t="s">
        <v>249</v>
      </c>
      <c r="F145">
        <f t="shared" si="10"/>
        <v>1</v>
      </c>
    </row>
    <row r="146" spans="4:6" ht="12.75">
      <c r="D146" t="str">
        <f t="shared" si="9"/>
        <v>power control relay</v>
      </c>
      <c r="E146" s="3" t="s">
        <v>169</v>
      </c>
      <c r="F146">
        <f t="shared" si="10"/>
        <v>1</v>
      </c>
    </row>
    <row r="147" spans="4:6" ht="12.75">
      <c r="D147" t="str">
        <f t="shared" si="9"/>
        <v>Unreg power supply</v>
      </c>
      <c r="E147" s="3" t="s">
        <v>35</v>
      </c>
      <c r="F147">
        <f t="shared" si="10"/>
        <v>3</v>
      </c>
    </row>
    <row r="148" spans="4:7" ht="12.75">
      <c r="D148" t="str">
        <f t="shared" si="9"/>
        <v>counter input routing</v>
      </c>
      <c r="E148" s="3" t="s">
        <v>127</v>
      </c>
      <c r="F148">
        <f t="shared" si="10"/>
        <v>12</v>
      </c>
      <c r="G148" t="s">
        <v>223</v>
      </c>
    </row>
    <row r="149" spans="4:6" ht="12.75">
      <c r="D149" t="str">
        <f t="shared" si="9"/>
        <v>Jumpers </v>
      </c>
      <c r="E149" s="3" t="s">
        <v>182</v>
      </c>
      <c r="F149">
        <f t="shared" si="10"/>
        <v>12</v>
      </c>
    </row>
    <row r="150" spans="4:6" ht="12.75">
      <c r="D150" t="str">
        <f t="shared" si="9"/>
        <v>1-wire surge suppression</v>
      </c>
      <c r="E150" s="3" t="s">
        <v>45</v>
      </c>
      <c r="F150">
        <f t="shared" si="10"/>
        <v>9</v>
      </c>
    </row>
    <row r="151" spans="4:6" ht="12.75">
      <c r="D151" t="str">
        <f t="shared" si="9"/>
        <v>wall transformer</v>
      </c>
      <c r="E151" s="3" t="s">
        <v>241</v>
      </c>
      <c r="F151">
        <f t="shared" si="10"/>
        <v>1</v>
      </c>
    </row>
    <row r="152" spans="4:7" ht="12.75">
      <c r="D152" t="str">
        <f t="shared" si="9"/>
        <v>current source monitor</v>
      </c>
      <c r="E152" s="3" t="s">
        <v>215</v>
      </c>
      <c r="F152">
        <f t="shared" si="10"/>
        <v>3</v>
      </c>
      <c r="G152" t="s">
        <v>221</v>
      </c>
    </row>
    <row r="153" spans="4:7" ht="12.75">
      <c r="D153" t="str">
        <f t="shared" si="9"/>
        <v>counter</v>
      </c>
      <c r="E153" s="3" t="s">
        <v>216</v>
      </c>
      <c r="F153">
        <f t="shared" si="10"/>
        <v>4</v>
      </c>
      <c r="G153" t="s">
        <v>221</v>
      </c>
    </row>
    <row r="154" spans="4:7" ht="12.75">
      <c r="D154" t="str">
        <f t="shared" si="9"/>
        <v>BP midpoint adjust</v>
      </c>
      <c r="E154" s="3" t="s">
        <v>217</v>
      </c>
      <c r="F154">
        <f t="shared" si="10"/>
        <v>2</v>
      </c>
      <c r="G154" t="s">
        <v>221</v>
      </c>
    </row>
    <row r="155" spans="4:7" ht="12.75">
      <c r="D155" t="str">
        <f t="shared" si="9"/>
        <v>iButton clip</v>
      </c>
      <c r="E155" s="3" t="s">
        <v>220</v>
      </c>
      <c r="F155">
        <f t="shared" si="10"/>
        <v>1</v>
      </c>
      <c r="G155" t="s">
        <v>221</v>
      </c>
    </row>
    <row r="156" spans="4:7" ht="12.75">
      <c r="D156" t="str">
        <f t="shared" si="9"/>
        <v>1-wire isolator &amp; relay driver</v>
      </c>
      <c r="E156" s="3" t="s">
        <v>219</v>
      </c>
      <c r="F156">
        <f t="shared" si="10"/>
        <v>1</v>
      </c>
      <c r="G156" t="s">
        <v>221</v>
      </c>
    </row>
    <row r="157" ht="12.75">
      <c r="E157" s="3"/>
    </row>
    <row r="158" spans="4:7" ht="12.75">
      <c r="D158" t="str">
        <f>INDEX(D$52:D$114,MATCH(E158,E$52:E$114,0),1)</f>
        <v>BP sensor</v>
      </c>
      <c r="E158" s="3" t="s">
        <v>218</v>
      </c>
      <c r="F158">
        <f t="shared" si="10"/>
        <v>2</v>
      </c>
      <c r="G158" t="s">
        <v>222</v>
      </c>
    </row>
    <row r="159" ht="12.75">
      <c r="E159" s="3"/>
    </row>
    <row r="161" spans="5:6" ht="12.75">
      <c r="E161" t="s">
        <v>247</v>
      </c>
      <c r="F161">
        <f>SUM(F117:F159)</f>
        <v>159</v>
      </c>
    </row>
  </sheetData>
  <printOptions/>
  <pageMargins left="0.75" right="0.75" top="0.59" bottom="0.61" header="0.5" footer="0.5"/>
  <pageSetup fitToHeight="3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Parts Listing for E:/PROGRAM FILES/EAGLE-4.03/projects/onewire/experimenter/exp.brd</dc:title>
  <dc:subject/>
  <dc:creator>Philip Gladstone</dc:creator>
  <cp:keywords/>
  <dc:description/>
  <cp:lastModifiedBy>Philip Gladstone</cp:lastModifiedBy>
  <cp:lastPrinted>2001-08-15T02:51:16Z</cp:lastPrinted>
  <dcterms:created xsi:type="dcterms:W3CDTF">2001-08-15T01:36:28Z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